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.coello\Downloads\"/>
    </mc:Choice>
  </mc:AlternateContent>
  <xr:revisionPtr revIDLastSave="0" documentId="13_ncr:1_{D1CC22ED-C36D-435A-90FD-4241FFD771EF}" xr6:coauthVersionLast="47" xr6:coauthVersionMax="47" xr10:uidLastSave="{00000000-0000-0000-0000-000000000000}"/>
  <bookViews>
    <workbookView xWindow="-108" yWindow="-108" windowWidth="23256" windowHeight="12576" activeTab="3" xr2:uid="{C3E67334-2CA2-4FD8-9383-F03BAAF234EE}"/>
  </bookViews>
  <sheets>
    <sheet name="RESUMEN  2023" sheetId="4" r:id="rId1"/>
    <sheet name="RESUMEN 2024 OCM" sheetId="5" r:id="rId2"/>
    <sheet name="RESUMEN 2025 OCM " sheetId="6" r:id="rId3"/>
    <sheet name="RESUMEN 2026 OCM 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F18" i="7"/>
  <c r="F17" i="7"/>
  <c r="E17" i="7"/>
  <c r="F16" i="7"/>
  <c r="E16" i="7"/>
  <c r="F15" i="7"/>
  <c r="E15" i="7"/>
  <c r="D5" i="7" l="1"/>
  <c r="C6" i="7" s="1"/>
  <c r="D6" i="7" s="1"/>
  <c r="C7" i="7" s="1"/>
  <c r="D7" i="7" s="1"/>
  <c r="C8" i="7" s="1"/>
  <c r="D8" i="7" s="1"/>
  <c r="C9" i="7" s="1"/>
  <c r="D9" i="7" s="1"/>
  <c r="F9" i="7"/>
  <c r="G9" i="7" s="1"/>
  <c r="F8" i="7"/>
  <c r="G8" i="7" s="1"/>
  <c r="F7" i="7"/>
  <c r="G7" i="7" s="1"/>
  <c r="F6" i="7"/>
  <c r="G6" i="7" s="1"/>
  <c r="F5" i="7"/>
  <c r="F10" i="7" l="1"/>
  <c r="G5" i="7"/>
  <c r="G10" i="7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56" i="6"/>
  <c r="G56" i="6" s="1"/>
  <c r="F55" i="6"/>
  <c r="G55" i="6" s="1"/>
  <c r="F54" i="6"/>
  <c r="G54" i="6" s="1"/>
  <c r="D54" i="6"/>
  <c r="C55" i="6" s="1"/>
  <c r="F53" i="6"/>
  <c r="G53" i="6" s="1"/>
  <c r="F52" i="6"/>
  <c r="G52" i="6" s="1"/>
  <c r="F51" i="6"/>
  <c r="G51" i="6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D32" i="6"/>
  <c r="C33" i="6" s="1"/>
  <c r="D33" i="6" s="1"/>
  <c r="C34" i="6" s="1"/>
  <c r="D34" i="6" s="1"/>
  <c r="C35" i="6" s="1"/>
  <c r="D35" i="6" s="1"/>
  <c r="C36" i="6" s="1"/>
  <c r="D36" i="6" s="1"/>
  <c r="C37" i="6" s="1"/>
  <c r="D37" i="6" s="1"/>
  <c r="C38" i="6" s="1"/>
  <c r="D38" i="6" s="1"/>
  <c r="C39" i="6" s="1"/>
  <c r="D39" i="6" s="1"/>
  <c r="C40" i="6" s="1"/>
  <c r="D40" i="6" s="1"/>
  <c r="C41" i="6" s="1"/>
  <c r="D41" i="6" s="1"/>
  <c r="C42" i="6" s="1"/>
  <c r="D42" i="6" s="1"/>
  <c r="C43" i="6" s="1"/>
  <c r="D43" i="6" s="1"/>
  <c r="C44" i="6" s="1"/>
  <c r="D44" i="6" s="1"/>
  <c r="C45" i="6" s="1"/>
  <c r="D45" i="6" s="1"/>
  <c r="C46" i="6" s="1"/>
  <c r="D46" i="6" s="1"/>
  <c r="C47" i="6" s="1"/>
  <c r="D47" i="6" s="1"/>
  <c r="C48" i="6" s="1"/>
  <c r="D48" i="6" s="1"/>
  <c r="C49" i="6" s="1"/>
  <c r="D49" i="6" s="1"/>
  <c r="C50" i="6" s="1"/>
  <c r="D50" i="6" s="1"/>
  <c r="C51" i="6" s="1"/>
  <c r="D51" i="6" s="1"/>
  <c r="C52" i="6" s="1"/>
  <c r="D52" i="6" s="1"/>
  <c r="C53" i="6" s="1"/>
  <c r="D53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  <c r="F5" i="6"/>
  <c r="G5" i="6" s="1"/>
  <c r="D5" i="6"/>
  <c r="C6" i="6" s="1"/>
  <c r="D6" i="6" s="1"/>
  <c r="C7" i="6" s="1"/>
  <c r="D7" i="6" s="1"/>
  <c r="F73" i="5"/>
  <c r="E73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8" i="5"/>
  <c r="G8" i="5" s="1"/>
  <c r="F9" i="5"/>
  <c r="G9" i="5" s="1"/>
  <c r="F7" i="5"/>
  <c r="G7" i="5" s="1"/>
  <c r="F6" i="5"/>
  <c r="G6" i="5" s="1"/>
  <c r="F5" i="5"/>
  <c r="G5" i="5" s="1"/>
  <c r="D5" i="5"/>
  <c r="C6" i="5" s="1"/>
  <c r="D6" i="5" s="1"/>
  <c r="C7" i="5" s="1"/>
  <c r="D7" i="5" s="1"/>
  <c r="C8" i="5" s="1"/>
  <c r="D8" i="5" s="1"/>
  <c r="C9" i="5" s="1"/>
  <c r="D9" i="5" s="1"/>
  <c r="C10" i="5" s="1"/>
  <c r="D10" i="5" s="1"/>
  <c r="C11" i="5" s="1"/>
  <c r="D11" i="5" s="1"/>
  <c r="C12" i="5" s="1"/>
  <c r="D12" i="5" s="1"/>
  <c r="C13" i="5" s="1"/>
  <c r="D13" i="5" s="1"/>
  <c r="C14" i="5" s="1"/>
  <c r="D14" i="5" s="1"/>
  <c r="C15" i="5" s="1"/>
  <c r="D15" i="5" s="1"/>
  <c r="C16" i="5" s="1"/>
  <c r="D16" i="5" s="1"/>
  <c r="C17" i="5" s="1"/>
  <c r="D17" i="5" s="1"/>
  <c r="C18" i="5" s="1"/>
  <c r="D18" i="5" s="1"/>
  <c r="C19" i="5" s="1"/>
  <c r="D19" i="5" s="1"/>
  <c r="C20" i="5" s="1"/>
  <c r="D20" i="5" s="1"/>
  <c r="C21" i="5" s="1"/>
  <c r="D21" i="5" s="1"/>
  <c r="C22" i="5" s="1"/>
  <c r="D22" i="5" s="1"/>
  <c r="C23" i="5" s="1"/>
  <c r="D23" i="5" s="1"/>
  <c r="C24" i="5" s="1"/>
  <c r="D24" i="5" s="1"/>
  <c r="C25" i="5" s="1"/>
  <c r="D25" i="5" s="1"/>
  <c r="D54" i="5"/>
  <c r="C55" i="5" s="1"/>
  <c r="D55" i="5" s="1"/>
  <c r="C56" i="5" s="1"/>
  <c r="D56" i="5" s="1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H64" i="4"/>
  <c r="I64" i="4" s="1"/>
  <c r="H63" i="4"/>
  <c r="I63" i="4" s="1"/>
  <c r="H62" i="4"/>
  <c r="I62" i="4" s="1"/>
  <c r="E61" i="4"/>
  <c r="H61" i="4" s="1"/>
  <c r="H60" i="4"/>
  <c r="I60" i="4" s="1"/>
  <c r="E59" i="4"/>
  <c r="H59" i="4" s="1"/>
  <c r="H58" i="4"/>
  <c r="I58" i="4" s="1"/>
  <c r="H57" i="4"/>
  <c r="I57" i="4" s="1"/>
  <c r="H56" i="4"/>
  <c r="I56" i="4" s="1"/>
  <c r="H55" i="4"/>
  <c r="I55" i="4" s="1"/>
  <c r="H54" i="4"/>
  <c r="I54" i="4" s="1"/>
  <c r="D54" i="4"/>
  <c r="C55" i="4" s="1"/>
  <c r="D55" i="4" s="1"/>
  <c r="C56" i="4" s="1"/>
  <c r="D56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F31" i="4"/>
  <c r="H31" i="4" s="1"/>
  <c r="F30" i="4"/>
  <c r="H30" i="4" s="1"/>
  <c r="F29" i="4"/>
  <c r="H29" i="4" s="1"/>
  <c r="F28" i="4"/>
  <c r="H28" i="4" s="1"/>
  <c r="H27" i="4"/>
  <c r="I27" i="4" s="1"/>
  <c r="F26" i="4"/>
  <c r="H26" i="4" s="1"/>
  <c r="F25" i="4"/>
  <c r="H25" i="4" s="1"/>
  <c r="H24" i="4"/>
  <c r="I24" i="4" s="1"/>
  <c r="H23" i="4"/>
  <c r="I23" i="4" s="1"/>
  <c r="H22" i="4"/>
  <c r="I22" i="4" s="1"/>
  <c r="H21" i="4"/>
  <c r="I21" i="4" s="1"/>
  <c r="F20" i="4"/>
  <c r="H20" i="4" s="1"/>
  <c r="H19" i="4"/>
  <c r="I19" i="4" s="1"/>
  <c r="H18" i="4"/>
  <c r="I18" i="4" s="1"/>
  <c r="H17" i="4"/>
  <c r="I17" i="4" s="1"/>
  <c r="F16" i="4"/>
  <c r="H16" i="4" s="1"/>
  <c r="H15" i="4"/>
  <c r="I15" i="4" s="1"/>
  <c r="F14" i="4"/>
  <c r="H14" i="4" s="1"/>
  <c r="F13" i="4"/>
  <c r="H13" i="4" s="1"/>
  <c r="F12" i="4"/>
  <c r="H12" i="4" s="1"/>
  <c r="F11" i="4"/>
  <c r="H11" i="4" s="1"/>
  <c r="F10" i="4"/>
  <c r="H10" i="4" s="1"/>
  <c r="H9" i="4"/>
  <c r="I9" i="4" s="1"/>
  <c r="H8" i="4"/>
  <c r="I8" i="4" s="1"/>
  <c r="H7" i="4"/>
  <c r="I7" i="4" s="1"/>
  <c r="H6" i="4"/>
  <c r="I6" i="4" s="1"/>
  <c r="H5" i="4"/>
  <c r="I5" i="4" s="1"/>
  <c r="D5" i="4"/>
  <c r="C6" i="4" s="1"/>
  <c r="D6" i="4" s="1"/>
  <c r="C7" i="4" s="1"/>
  <c r="D7" i="4" s="1"/>
  <c r="C8" i="4" s="1"/>
  <c r="D8" i="4" s="1"/>
  <c r="C9" i="4" s="1"/>
  <c r="D9" i="4" s="1"/>
  <c r="C10" i="4" s="1"/>
  <c r="D10" i="4" s="1"/>
  <c r="C11" i="4" s="1"/>
  <c r="D11" i="4" s="1"/>
  <c r="C12" i="4" s="1"/>
  <c r="D12" i="4" s="1"/>
  <c r="C13" i="4" s="1"/>
  <c r="D13" i="4" s="1"/>
  <c r="C14" i="4" s="1"/>
  <c r="D14" i="4" s="1"/>
  <c r="C15" i="4" s="1"/>
  <c r="D15" i="4" s="1"/>
  <c r="C16" i="4" s="1"/>
  <c r="D16" i="4" s="1"/>
  <c r="C17" i="4" s="1"/>
  <c r="D17" i="4" s="1"/>
  <c r="C18" i="4" s="1"/>
  <c r="D18" i="4" s="1"/>
  <c r="C19" i="4" s="1"/>
  <c r="D19" i="4" s="1"/>
  <c r="C20" i="4" s="1"/>
  <c r="D20" i="4" s="1"/>
  <c r="C21" i="4" s="1"/>
  <c r="D21" i="4" s="1"/>
  <c r="C22" i="4" s="1"/>
  <c r="D22" i="4" s="1"/>
  <c r="C23" i="4" s="1"/>
  <c r="D23" i="4" s="1"/>
  <c r="C24" i="4" s="1"/>
  <c r="D24" i="4" s="1"/>
  <c r="C25" i="4" s="1"/>
  <c r="D25" i="4" s="1"/>
  <c r="C26" i="4" s="1"/>
  <c r="D26" i="4" s="1"/>
  <c r="C27" i="4" s="1"/>
  <c r="D27" i="4" s="1"/>
  <c r="C28" i="4" s="1"/>
  <c r="D28" i="4" s="1"/>
  <c r="C29" i="4" s="1"/>
  <c r="D29" i="4" s="1"/>
  <c r="C30" i="4" s="1"/>
  <c r="D30" i="4" s="1"/>
  <c r="C31" i="4" s="1"/>
  <c r="D31" i="4" s="1"/>
  <c r="D55" i="6" l="1"/>
  <c r="C56" i="6" s="1"/>
  <c r="D56" i="6" s="1"/>
  <c r="E75" i="6"/>
  <c r="C8" i="6"/>
  <c r="D8" i="6" s="1"/>
  <c r="C9" i="6" s="1"/>
  <c r="D9" i="6" s="1"/>
  <c r="C10" i="6" s="1"/>
  <c r="D10" i="6" s="1"/>
  <c r="C11" i="6" s="1"/>
  <c r="D11" i="6" s="1"/>
  <c r="C12" i="6" s="1"/>
  <c r="D12" i="6" s="1"/>
  <c r="C13" i="6" s="1"/>
  <c r="D13" i="6" s="1"/>
  <c r="C14" i="6" s="1"/>
  <c r="D14" i="6" s="1"/>
  <c r="C15" i="6" s="1"/>
  <c r="D15" i="6" s="1"/>
  <c r="C16" i="6" s="1"/>
  <c r="D16" i="6" s="1"/>
  <c r="C17" i="6" s="1"/>
  <c r="D17" i="6" s="1"/>
  <c r="C18" i="6" s="1"/>
  <c r="D18" i="6" s="1"/>
  <c r="C19" i="6" s="1"/>
  <c r="D19" i="6" s="1"/>
  <c r="C20" i="6" s="1"/>
  <c r="D20" i="6" s="1"/>
  <c r="C21" i="6" s="1"/>
  <c r="D21" i="6" s="1"/>
  <c r="C22" i="6" s="1"/>
  <c r="D22" i="6" s="1"/>
  <c r="C23" i="6" s="1"/>
  <c r="D23" i="6" s="1"/>
  <c r="C24" i="6" s="1"/>
  <c r="D24" i="6" s="1"/>
  <c r="C25" i="6" s="1"/>
  <c r="D25" i="6" s="1"/>
  <c r="C26" i="6" s="1"/>
  <c r="D26" i="6" s="1"/>
  <c r="C27" i="6" s="1"/>
  <c r="D27" i="6" s="1"/>
  <c r="C28" i="6" s="1"/>
  <c r="D28" i="6" s="1"/>
  <c r="C29" i="6" s="1"/>
  <c r="D29" i="6" s="1"/>
  <c r="C30" i="6" s="1"/>
  <c r="D30" i="6" s="1"/>
  <c r="C31" i="6" s="1"/>
  <c r="D31" i="6" s="1"/>
  <c r="F75" i="6"/>
  <c r="E81" i="4"/>
  <c r="F81" i="4"/>
  <c r="F57" i="6"/>
  <c r="G57" i="6"/>
  <c r="E74" i="5"/>
  <c r="F74" i="5"/>
  <c r="G58" i="5"/>
  <c r="F58" i="5"/>
  <c r="C26" i="5"/>
  <c r="D26" i="5" s="1"/>
  <c r="C27" i="5" s="1"/>
  <c r="D27" i="5" s="1"/>
  <c r="C28" i="5" s="1"/>
  <c r="D28" i="5" s="1"/>
  <c r="C29" i="5" s="1"/>
  <c r="D29" i="5" s="1"/>
  <c r="C30" i="5" s="1"/>
  <c r="D30" i="5" s="1"/>
  <c r="C31" i="5" s="1"/>
  <c r="D31" i="5" s="1"/>
  <c r="D32" i="5"/>
  <c r="C33" i="5" s="1"/>
  <c r="D33" i="5" s="1"/>
  <c r="I10" i="4"/>
  <c r="I25" i="4"/>
  <c r="I26" i="4"/>
  <c r="I11" i="4"/>
  <c r="I59" i="4"/>
  <c r="H65" i="4"/>
  <c r="I12" i="4"/>
  <c r="I20" i="4"/>
  <c r="I28" i="4"/>
  <c r="I13" i="4"/>
  <c r="I29" i="4"/>
  <c r="I61" i="4"/>
  <c r="I14" i="4"/>
  <c r="I30" i="4"/>
  <c r="I31" i="4"/>
  <c r="I16" i="4"/>
  <c r="C32" i="4"/>
  <c r="D32" i="4" s="1"/>
  <c r="C33" i="4" s="1"/>
  <c r="D33" i="4" s="1"/>
  <c r="C34" i="4" s="1"/>
  <c r="D34" i="4" s="1"/>
  <c r="C35" i="4" s="1"/>
  <c r="D35" i="4" s="1"/>
  <c r="C36" i="4" s="1"/>
  <c r="D36" i="4" s="1"/>
  <c r="C37" i="4" s="1"/>
  <c r="D37" i="4" s="1"/>
  <c r="C38" i="4" s="1"/>
  <c r="D38" i="4" s="1"/>
  <c r="C39" i="4" s="1"/>
  <c r="D39" i="4" s="1"/>
  <c r="C40" i="4" s="1"/>
  <c r="D40" i="4" s="1"/>
  <c r="C41" i="4" s="1"/>
  <c r="D41" i="4" s="1"/>
  <c r="C42" i="4" s="1"/>
  <c r="D42" i="4" s="1"/>
  <c r="C43" i="4" s="1"/>
  <c r="D43" i="4" s="1"/>
  <c r="C44" i="4" s="1"/>
  <c r="D44" i="4" s="1"/>
  <c r="C45" i="4" s="1"/>
  <c r="D45" i="4" s="1"/>
  <c r="C46" i="4" s="1"/>
  <c r="D46" i="4" s="1"/>
  <c r="C47" i="4" s="1"/>
  <c r="D47" i="4" s="1"/>
  <c r="C48" i="4" s="1"/>
  <c r="D48" i="4" s="1"/>
  <c r="C49" i="4" s="1"/>
  <c r="D49" i="4" s="1"/>
  <c r="C50" i="4" s="1"/>
  <c r="D50" i="4" s="1"/>
  <c r="C51" i="4" s="1"/>
  <c r="D51" i="4" s="1"/>
  <c r="C34" i="5" l="1"/>
  <c r="D34" i="5" s="1"/>
  <c r="C35" i="5" s="1"/>
  <c r="D35" i="5" s="1"/>
  <c r="C36" i="5" s="1"/>
  <c r="D36" i="5" s="1"/>
  <c r="C37" i="5" s="1"/>
  <c r="D37" i="5" s="1"/>
  <c r="C38" i="5" s="1"/>
  <c r="D38" i="5" s="1"/>
  <c r="C39" i="5" s="1"/>
  <c r="D39" i="5" s="1"/>
  <c r="C40" i="5" s="1"/>
  <c r="D40" i="5" s="1"/>
  <c r="C41" i="5" s="1"/>
  <c r="D41" i="5" s="1"/>
  <c r="C42" i="5" s="1"/>
  <c r="D42" i="5" s="1"/>
  <c r="C43" i="5" s="1"/>
  <c r="D43" i="5" s="1"/>
  <c r="C44" i="5" s="1"/>
  <c r="D44" i="5" s="1"/>
  <c r="C45" i="5" s="1"/>
  <c r="D45" i="5" s="1"/>
  <c r="C46" i="5" s="1"/>
  <c r="D46" i="5" s="1"/>
  <c r="C47" i="5" s="1"/>
  <c r="D47" i="5" s="1"/>
  <c r="C48" i="5" s="1"/>
  <c r="D48" i="5" s="1"/>
  <c r="C49" i="5" s="1"/>
  <c r="D49" i="5" s="1"/>
  <c r="C50" i="5" s="1"/>
  <c r="D50" i="5" s="1"/>
  <c r="C51" i="5" s="1"/>
  <c r="D51" i="5" s="1"/>
  <c r="C52" i="5" s="1"/>
  <c r="D52" i="5" s="1"/>
  <c r="C53" i="5" s="1"/>
  <c r="D53" i="5" s="1"/>
  <c r="D57" i="5"/>
  <c r="I65" i="4"/>
  <c r="C52" i="4"/>
  <c r="D52" i="4" s="1"/>
  <c r="C53" i="4" s="1"/>
  <c r="D53" i="4" s="1"/>
  <c r="C57" i="4"/>
  <c r="D57" i="4" s="1"/>
  <c r="C58" i="4" s="1"/>
  <c r="D58" i="4" s="1"/>
  <c r="C59" i="4" s="1"/>
  <c r="D59" i="4" s="1"/>
  <c r="C60" i="4" s="1"/>
  <c r="D60" i="4" s="1"/>
  <c r="C61" i="4" s="1"/>
  <c r="D61" i="4" s="1"/>
  <c r="C62" i="4" s="1"/>
  <c r="D62" i="4" s="1"/>
  <c r="C63" i="4" s="1"/>
  <c r="D63" i="4" s="1"/>
  <c r="C64" i="4" s="1"/>
  <c r="D64" i="4" s="1"/>
</calcChain>
</file>

<file path=xl/sharedStrings.xml><?xml version="1.0" encoding="utf-8"?>
<sst xmlns="http://schemas.openxmlformats.org/spreadsheetml/2006/main" count="308" uniqueCount="213">
  <si>
    <t>VALORES PAGADOS PERIODO 2023:
SERVICIO SEMANAL: (RECAUDACIÓN DE ALCANCIA, CONSUMO DE TARJETAS, CONSUMO MOVILPARK)</t>
  </si>
  <si>
    <t>Item</t>
  </si>
  <si>
    <t>Detalle
(Semana de operación)</t>
  </si>
  <si>
    <t>Periodo semana
(fechas)</t>
  </si>
  <si>
    <t>Recaudación Alcancia 
($)</t>
  </si>
  <si>
    <t>Consumo 
Tarjeta 
($)</t>
  </si>
  <si>
    <t>Consumo 
Movilpark 
($)</t>
  </si>
  <si>
    <t>Valor 
a cancelar
79,5% ($)</t>
  </si>
  <si>
    <t>Desde</t>
  </si>
  <si>
    <t>Hasta</t>
  </si>
  <si>
    <t>SEMANA 230</t>
  </si>
  <si>
    <t>SEMANA 231</t>
  </si>
  <si>
    <t>SEMANA 232</t>
  </si>
  <si>
    <t>SEMANA 233</t>
  </si>
  <si>
    <t>SEMANA 234</t>
  </si>
  <si>
    <t>SEMANA 235</t>
  </si>
  <si>
    <t>SEMANA 236</t>
  </si>
  <si>
    <t>SEMANA 237</t>
  </si>
  <si>
    <t>SEMANA 238</t>
  </si>
  <si>
    <t>SEMANA 239</t>
  </si>
  <si>
    <t>SEMANA 240</t>
  </si>
  <si>
    <t>SEMANA 241</t>
  </si>
  <si>
    <t>SEMANA 242</t>
  </si>
  <si>
    <t>SEMANA 243</t>
  </si>
  <si>
    <t>SEMANA 244</t>
  </si>
  <si>
    <t>SEMANA 245</t>
  </si>
  <si>
    <t>SEMANA 246</t>
  </si>
  <si>
    <t>SEMANA 247</t>
  </si>
  <si>
    <t>SEMANA 248</t>
  </si>
  <si>
    <t>SEMANA 249</t>
  </si>
  <si>
    <t>SEMANA 250</t>
  </si>
  <si>
    <t>SEMANA 251</t>
  </si>
  <si>
    <t>SEMANA 252</t>
  </si>
  <si>
    <t>SEMANA 253</t>
  </si>
  <si>
    <t>SEMANA 254</t>
  </si>
  <si>
    <t>SEMANA 255</t>
  </si>
  <si>
    <t>SEMANA 256</t>
  </si>
  <si>
    <t>SEMANA 257</t>
  </si>
  <si>
    <t>SEMANA 258</t>
  </si>
  <si>
    <t>SEMANA 259</t>
  </si>
  <si>
    <t>SEMANA 260</t>
  </si>
  <si>
    <t>SEMANA 261</t>
  </si>
  <si>
    <t>SEMANA 262</t>
  </si>
  <si>
    <t>SEMANA 263</t>
  </si>
  <si>
    <t>SEMANA 264</t>
  </si>
  <si>
    <t>SEMANA 265</t>
  </si>
  <si>
    <t>SEMANA 266</t>
  </si>
  <si>
    <t>SEMANA 267</t>
  </si>
  <si>
    <t>SEMANA 268</t>
  </si>
  <si>
    <t>SEMANA 269</t>
  </si>
  <si>
    <t>SEMANA 270</t>
  </si>
  <si>
    <t>SEMANA 271</t>
  </si>
  <si>
    <t>SEMANA 272</t>
  </si>
  <si>
    <t>SEMANA 273</t>
  </si>
  <si>
    <t>SEMANA 274</t>
  </si>
  <si>
    <t>SEMANA 275</t>
  </si>
  <si>
    <t>SEMANA 276</t>
  </si>
  <si>
    <t>SEMANA 277</t>
  </si>
  <si>
    <t>SEMANA 278</t>
  </si>
  <si>
    <t>SEMANA 279</t>
  </si>
  <si>
    <t>SEMANA 280</t>
  </si>
  <si>
    <t>SEMANA 281</t>
  </si>
  <si>
    <t>SEMANA 282</t>
  </si>
  <si>
    <t>SEMANA 283</t>
  </si>
  <si>
    <t>SEMANA 284</t>
  </si>
  <si>
    <t>SEMANA 285</t>
  </si>
  <si>
    <t>SEMANA 286</t>
  </si>
  <si>
    <t>SEMANA 287</t>
  </si>
  <si>
    <t>SEMANA 288</t>
  </si>
  <si>
    <t>SEMANA 289</t>
  </si>
  <si>
    <t>Año</t>
  </si>
  <si>
    <t>Mes</t>
  </si>
  <si>
    <t>Multas pagadas por usuario</t>
  </si>
  <si>
    <t>Valor Recaudado Multa</t>
  </si>
  <si>
    <t>Valor por Multa  80%
ATM</t>
  </si>
  <si>
    <t>Valor por Multa  20%
Operador</t>
  </si>
  <si>
    <t>SEPTIEMBRE</t>
  </si>
  <si>
    <t>OCTUBRE</t>
  </si>
  <si>
    <t>NOVIEMBRE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</si>
  <si>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</si>
  <si>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</si>
  <si>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</si>
  <si>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</si>
  <si>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</si>
  <si>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</si>
  <si>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</si>
  <si>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</si>
  <si>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</si>
  <si>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</si>
  <si>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</si>
  <si>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</si>
  <si>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</si>
  <si>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</si>
  <si>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</si>
  <si>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</si>
  <si>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</si>
  <si>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 xml:space="preserve">ATM 20,5 % </t>
  </si>
  <si>
    <t>VALORES PAGADOS PERIODO 2023  MULTAS</t>
  </si>
  <si>
    <t>SEMANA 290</t>
  </si>
  <si>
    <t>SEMANA 291</t>
  </si>
  <si>
    <t>SEMANA 292</t>
  </si>
  <si>
    <t>SEMANA 293</t>
  </si>
  <si>
    <t>SEMANA 294</t>
  </si>
  <si>
    <t>SEMANA 295</t>
  </si>
  <si>
    <t>SEMANA 296</t>
  </si>
  <si>
    <t>SEMANA 297</t>
  </si>
  <si>
    <t>SEMANA 298</t>
  </si>
  <si>
    <t>SEMANA 299</t>
  </si>
  <si>
    <t>SEMANA 300</t>
  </si>
  <si>
    <t>SEMANA 301</t>
  </si>
  <si>
    <t>SEMANA 302</t>
  </si>
  <si>
    <t>SEMANA 303</t>
  </si>
  <si>
    <t>SEMANA 304</t>
  </si>
  <si>
    <t>SEMANA 305</t>
  </si>
  <si>
    <t>SEMANA 306</t>
  </si>
  <si>
    <t>SEMANA 307</t>
  </si>
  <si>
    <t>SEMANA 308</t>
  </si>
  <si>
    <t>SEMANA 309</t>
  </si>
  <si>
    <t>SEMANA 310</t>
  </si>
  <si>
    <t>SEMANA 311</t>
  </si>
  <si>
    <t>SEMANA 312</t>
  </si>
  <si>
    <t>SEMANA 313</t>
  </si>
  <si>
    <t>SEMANA 314</t>
  </si>
  <si>
    <t>SEMANA 315</t>
  </si>
  <si>
    <t>SEMANA 316</t>
  </si>
  <si>
    <t>SEMANA 317</t>
  </si>
  <si>
    <t>SEMANA 318</t>
  </si>
  <si>
    <t>SEMANA 319</t>
  </si>
  <si>
    <t>SEMANA 320</t>
  </si>
  <si>
    <t>SEMANA 321</t>
  </si>
  <si>
    <t>SEMANA 322</t>
  </si>
  <si>
    <t>SEMANA 323</t>
  </si>
  <si>
    <t>SEMANA 324</t>
  </si>
  <si>
    <t>SEMANA 325</t>
  </si>
  <si>
    <t>SEMANA 326</t>
  </si>
  <si>
    <t>SEMANA 327</t>
  </si>
  <si>
    <t>SEMANA 328</t>
  </si>
  <si>
    <t>SEMANA 329</t>
  </si>
  <si>
    <t>SEMANA 330</t>
  </si>
  <si>
    <t>SEMANA 331</t>
  </si>
  <si>
    <t>SEMANA 332</t>
  </si>
  <si>
    <t>SEMANA 333</t>
  </si>
  <si>
    <t>SEMANA 334</t>
  </si>
  <si>
    <t>SEMANA 335</t>
  </si>
  <si>
    <t>SEMANA 336</t>
  </si>
  <si>
    <t>SEMANA 337</t>
  </si>
  <si>
    <t>SEMANA 338</t>
  </si>
  <si>
    <t>SEMANA 339</t>
  </si>
  <si>
    <t>VALORES PAGADOS PERIODO 2024 MULTAS</t>
  </si>
  <si>
    <t xml:space="preserve">ENERO </t>
  </si>
  <si>
    <t>DICIMBRE</t>
  </si>
  <si>
    <t>VALORES PAGADOS PERIODO 2024:
SERVICIO SEMANAL: (RECAUDACIÓN DE ALCANCIA, CONSUMO DE TARJETAS, CONSUMO MOVILPARK)</t>
  </si>
  <si>
    <t>VALORES PAGADOS PERIODO 2025 MULTAS</t>
  </si>
  <si>
    <t>SEMANA 340</t>
  </si>
  <si>
    <t>SEMANA 341</t>
  </si>
  <si>
    <t>SEMANA 342</t>
  </si>
  <si>
    <t>SEMANA 343</t>
  </si>
  <si>
    <t>SEMANA 344</t>
  </si>
  <si>
    <t>SEMANA 345</t>
  </si>
  <si>
    <t>SEMANA 346</t>
  </si>
  <si>
    <t>SEMANA 347</t>
  </si>
  <si>
    <t>SEMANA 348</t>
  </si>
  <si>
    <t>SEMANA 349</t>
  </si>
  <si>
    <t>SEMANA 350</t>
  </si>
  <si>
    <t>SEMANA 351</t>
  </si>
  <si>
    <t>SEMANA 352</t>
  </si>
  <si>
    <t>SEMANA 353</t>
  </si>
  <si>
    <t>SEMANA 354</t>
  </si>
  <si>
    <t>SEMANA 355</t>
  </si>
  <si>
    <t>SEMANA 356</t>
  </si>
  <si>
    <t>SEMANA 357</t>
  </si>
  <si>
    <t>SEMANA 358</t>
  </si>
  <si>
    <t>SEMANA 359</t>
  </si>
  <si>
    <t>SEMANA 360</t>
  </si>
  <si>
    <t>SEMANA 361</t>
  </si>
  <si>
    <t>SEMANA 362</t>
  </si>
  <si>
    <t>SEMANA 363</t>
  </si>
  <si>
    <t>SEMANA 364</t>
  </si>
  <si>
    <t>SEMANA 365</t>
  </si>
  <si>
    <t>SEMANA 366</t>
  </si>
  <si>
    <t>SEMANA 367</t>
  </si>
  <si>
    <t>SEMANA 368</t>
  </si>
  <si>
    <t>SEMANA 369</t>
  </si>
  <si>
    <t>SEMANA 370</t>
  </si>
  <si>
    <t>SEMANA 371</t>
  </si>
  <si>
    <t>SEMANA 372</t>
  </si>
  <si>
    <t>SEMANA 373</t>
  </si>
  <si>
    <t>SEMANA 374</t>
  </si>
  <si>
    <t>SEMANA 375</t>
  </si>
  <si>
    <t>SEMANA 376</t>
  </si>
  <si>
    <t>SEMANA 377</t>
  </si>
  <si>
    <t>SEMANA 378</t>
  </si>
  <si>
    <t>SEMANA 379</t>
  </si>
  <si>
    <t>SEMANA 380</t>
  </si>
  <si>
    <t>SEMANA 381</t>
  </si>
  <si>
    <t>SEMANA 382</t>
  </si>
  <si>
    <t>SEMANA 383</t>
  </si>
  <si>
    <t>SEMANA 384</t>
  </si>
  <si>
    <t>SEMANA 385</t>
  </si>
  <si>
    <t>SEMANA 386</t>
  </si>
  <si>
    <t>SEMANA 387</t>
  </si>
  <si>
    <t>SEMANA 388</t>
  </si>
  <si>
    <t>SEMANA 389</t>
  </si>
  <si>
    <t>SEMANA 390</t>
  </si>
  <si>
    <t>SEMANA 391</t>
  </si>
  <si>
    <t>VALORES PAGADOS PERIODO 2026:
SERVICIO SEMANAL: (RECAUDACIÓN DE ALCANCIA, CONSUMO DE TARJETAS, CONSUMO MOVILPARK)</t>
  </si>
  <si>
    <t>SEMANA 392</t>
  </si>
  <si>
    <t>SEMANA 393</t>
  </si>
  <si>
    <t>SEMANA 394</t>
  </si>
  <si>
    <t>SEMANA 395</t>
  </si>
  <si>
    <t>SEMANA 396</t>
  </si>
  <si>
    <t>VALORES PAGADOS PERIODO 2026 MULTAS</t>
  </si>
  <si>
    <t xml:space="preserve">VALORES PAGADOS PERIODO 2025
SERVICIO SEMANAL: (RECAUDACIÓN DE ALCANCIA, CONSUMO DE TARJETAS, CONSUMO MOVILPARK)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</si>
</sst>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4" formatCode="_ &quot;$&quot;* #,##0.00_ ;_ &quot;$&quot;* \-#,##0.00_ ;_ &quot;$&quot;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14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4" fontId="0" fillId="0" borderId="5" xfId="1" applyFont="1" applyFill="1" applyBorder="1"/>
    <xf numFmtId="44" fontId="0" fillId="0" borderId="5" xfId="1" applyFont="1" applyFill="1" applyBorder="1" applyAlignment="1">
      <alignment horizontal="center"/>
    </xf>
    <xf numFmtId="44" fontId="0" fillId="0" borderId="4" xfId="1" applyFont="1" applyFill="1" applyBorder="1"/>
    <xf numFmtId="44" fontId="0" fillId="0" borderId="4" xfId="1" applyFont="1" applyFill="1" applyBorder="1" applyAlignment="1">
      <alignment horizontal="center"/>
    </xf>
    <xf numFmtId="44" fontId="0" fillId="0" borderId="4" xfId="1" applyFont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5" xfId="1" applyFont="1" applyFill="1" applyBorder="1" applyAlignment="1">
      <alignment horizontal="center" vertical="center"/>
    </xf>
    <xf numFmtId="0" fontId="0" fillId="0" borderId="4" xfId="0" applyBorder="1" applyAlignment="1">
      <alignment horizontal="justify" vertical="center"/>
    </xf>
    <xf numFmtId="14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3" fillId="0" borderId="5" xfId="1" applyFont="1" applyFill="1" applyBorder="1"/>
    <xf numFmtId="0" fontId="0" fillId="0" borderId="7" xfId="0" applyBorder="1" applyAlignment="1">
      <alignment horizontal="center" vertical="center"/>
    </xf>
    <xf numFmtId="44" fontId="0" fillId="0" borderId="1" xfId="1" applyFont="1" applyFill="1" applyBorder="1"/>
    <xf numFmtId="44" fontId="0" fillId="0" borderId="5" xfId="1" applyFont="1" applyBorder="1" applyAlignment="1">
      <alignment horizontal="center"/>
    </xf>
    <xf numFmtId="44" fontId="1" fillId="0" borderId="5" xfId="1" applyFont="1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8" fontId="0" fillId="0" borderId="5" xfId="1" applyNumberFormat="1" applyFont="1" applyFill="1" applyBorder="1"/>
    <xf numFmtId="0" fontId="0" fillId="0" borderId="0" xfId="0" applyAlignment="1">
      <alignment horizontal="justify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4" fontId="3" fillId="0" borderId="0" xfId="1" applyFont="1" applyFill="1" applyBorder="1"/>
    <xf numFmtId="8" fontId="0" fillId="0" borderId="5" xfId="1" applyNumberFormat="1" applyFont="1" applyBorder="1" applyAlignment="1">
      <alignment horizontal="center" vertical="center"/>
    </xf>
    <xf numFmtId="44" fontId="3" fillId="0" borderId="4" xfId="0" applyNumberFormat="1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5" xfId="0" applyNumberFormat="1" applyFont="1" applyBorder="1"/>
    <xf numFmtId="4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/>
    <xf numFmtId="44" fontId="1" fillId="0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justify" vertical="center"/>
    </xf>
    <xf numFmtId="14" fontId="0" fillId="0" borderId="5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4" fontId="0" fillId="0" borderId="0" xfId="0" applyNumberFormat="1" applyFill="1"/>
    <xf numFmtId="0" fontId="0" fillId="0" borderId="7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justify" vertic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4" fontId="0" fillId="0" borderId="4" xfId="0" applyNumberFormat="1" applyFont="1" applyBorder="1" applyAlignment="1">
      <alignment horizontal="center" vertical="center" wrapText="1"/>
    </xf>
    <xf numFmtId="8" fontId="0" fillId="0" borderId="5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97">
    <dxf>
      <numFmt numFmtId="34" formatCode="_ &quot;$&quot;* #,##0.00_ ;_ &quot;$&quot;* \-#,##0.00_ ;_ &quot;$&quot;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$&quot;* #,##0.00_ ;_ &quot;$&quot;* \-#,##0.00_ ;_ &quot;$&quot;* &quot;-&quot;??_ ;_ @_ 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 &quot;$&quot;* #,##0.00_ ;_ &quot;$&quot;* \-#,##0.00_ ;_ &quot;$&quot;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4" formatCode="_ &quot;$&quot;* #,##0.00_ ;_ &quot;$&quot;* \-#,##0.00_ ;_ &quot;$&quot;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 &quot;$&quot;* #,##0.00_ ;_ &quot;$&quot;* \-#,##0.00_ ;_ &quot;$&quot;* &quot;-&quot;??_ ;_ @_ 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 &quot;$&quot;* #,##0.00_ ;_ &quot;$&quot;* \-#,##0.00_ ;_ &quot;$&quot;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$&quot;* #,##0.00_ ;_ &quot;$&quot;* \-#,##0.00_ ;_ &quot;$&quot;* &quot;-&quot;??_ ;_ @_ "/>
      <fill>
        <patternFill patternType="none">
          <fgColor indexed="64"/>
          <bgColor auto="1"/>
        </patternFill>
      </fill>
    </dxf>
    <dxf>
      <numFmt numFmtId="34" formatCode="_ &quot;$&quot;* #,##0.00_ ;_ &quot;$&quot;* \-#,##0.00_ ;_ &quot;$&quot;* &quot;-&quot;??_ ;_ @_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$&quot;* #,##0.00_ ;_ &quot;$&quot;* \-#,##0.00_ ;_ &quot;$&quot;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$&quot;* #,##0.00_ ;_ &quot;$&quot;* \-#,##0.00_ ;_ &quot;$&quot;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$&quot;* #,##0.00_ ;_ &quot;$&quot;* \-#,##0.00_ ;_ &quot;$&quot;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2A4E96-C633-4E21-8252-081F65342FF0}" name="Tabla2" displayName="Tabla2" ref="A2:I64" totalsRowShown="0" headerRowDxfId="96" tableBorderDxfId="95">
  <autoFilter ref="A2:I64" xr:uid="{112A4E96-C633-4E21-8252-081F65342FF0}"/>
  <tableColumns count="9">
    <tableColumn id="1" xr3:uid="{EBF73B3C-A189-48B5-9AB0-57EF88760F63}" name="Columna1" dataDxfId="94"/>
    <tableColumn id="2" xr3:uid="{06E22A1E-7EEE-4011-8F6F-5D97A3CA74EA}" name="Columna2" dataDxfId="93"/>
    <tableColumn id="3" xr3:uid="{8FC74FE5-0C37-4DF8-8E1B-8B8529DB31B9}" name="Columna3" dataDxfId="92">
      <calculatedColumnFormula>+D2+1</calculatedColumnFormula>
    </tableColumn>
    <tableColumn id="4" xr3:uid="{1697A939-C43A-45CB-A8D7-0A6A3A61568E}" name="Columna4" dataDxfId="91">
      <calculatedColumnFormula>+C3+6</calculatedColumnFormula>
    </tableColumn>
    <tableColumn id="5" xr3:uid="{C4353AF2-181D-4595-B1E3-EAE413D2B7AC}" name="Columna5" dataDxfId="90" dataCellStyle="Moneda"/>
    <tableColumn id="6" xr3:uid="{903F6E9B-0204-4D62-92AA-266E31628264}" name="Columna6" dataDxfId="89" dataCellStyle="Moneda"/>
    <tableColumn id="7" xr3:uid="{4DA4B507-7ED8-43C4-BD29-0B245229A0B9}" name="Columna7" dataDxfId="88" dataCellStyle="Moneda"/>
    <tableColumn id="8" xr3:uid="{99481653-6C35-483A-827F-03964440D11F}" name="Columna8" dataDxfId="87" dataCellStyle="Moneda"/>
    <tableColumn id="9" xr3:uid="{D1388D93-7FE4-4090-96A2-E92C6657577F}" name="Columna9" dataDxfId="86">
      <calculatedColumnFormula>E3+F3+G3-H3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12487A-BBFD-4FBD-9CC9-21A457C1067C}" name="Tabla4" displayName="Tabla4" ref="A69:F81" totalsRowShown="0" headerRowDxfId="85" headerRowBorderDxfId="84" tableBorderDxfId="83">
  <autoFilter ref="A69:F81" xr:uid="{EB12487A-BBFD-4FBD-9CC9-21A457C1067C}"/>
  <tableColumns count="6">
    <tableColumn id="1" xr3:uid="{CF4E235A-B287-43FB-A9AB-DB17E51FAF91}" name="Año" dataDxfId="82"/>
    <tableColumn id="2" xr3:uid="{04335237-458B-4071-8155-308680E30AB0}" name="Mes" dataDxfId="81"/>
    <tableColumn id="3" xr3:uid="{98EAF796-A4F5-4509-A4CA-5F1A779CEE03}" name="Multas pagadas por usuario" dataDxfId="80"/>
    <tableColumn id="4" xr3:uid="{08A80BF8-2361-4AD0-95EE-7EE875B8A49B}" name="Valor Recaudado Multa" dataDxfId="79" dataCellStyle="Moneda"/>
    <tableColumn id="5" xr3:uid="{EFB5EAAE-8262-4F85-B996-9C81FC03EAE6}" name="Valor por Multa  80%_x000a_ATM" dataDxfId="78" dataCellStyle="Moneda"/>
    <tableColumn id="6" xr3:uid="{7398067F-249A-44FB-9633-976FD73FA3FF}" name="Valor por Multa  20%_x000a_Operador" dataDxfId="77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F22754-B15E-4969-8E90-5FFCF9BC669D}" name="Tabla24" displayName="Tabla24" ref="A2:G58" totalsRowCount="1" headerRowDxfId="16" dataDxfId="14" totalsRowDxfId="15" tableBorderDxfId="76">
  <autoFilter ref="A2:G57" xr:uid="{5EF22754-B15E-4969-8E90-5FFCF9BC669D}"/>
  <tableColumns count="7">
    <tableColumn id="1" xr3:uid="{EC048DB1-EAE4-43A4-AEF5-E4FF2F4AF127}" name="Columna1" dataDxfId="30" totalsRowDxfId="29"/>
    <tableColumn id="2" xr3:uid="{DF592D9D-9719-4354-9C37-C8A666E0B28E}" name="Columna2" dataDxfId="28" totalsRowDxfId="27"/>
    <tableColumn id="3" xr3:uid="{FDEEB96C-0E22-4F3F-936E-51E004079D29}" name="Columna3" dataDxfId="26" totalsRowDxfId="25">
      <calculatedColumnFormula>+D2+1</calculatedColumnFormula>
    </tableColumn>
    <tableColumn id="4" xr3:uid="{2F7DB289-2768-4F4C-9EC9-BDCE185CF6AD}" name="Columna4" dataDxfId="24" totalsRowDxfId="23">
      <calculatedColumnFormula>+C3+6</calculatedColumnFormula>
    </tableColumn>
    <tableColumn id="5" xr3:uid="{143DC543-64E4-4699-A148-C924C54BFDA5}" name="Columna5" dataDxfId="22" totalsRowDxfId="21" dataCellStyle="Moneda" totalsRowCellStyle="Moneda"/>
    <tableColumn id="8" xr3:uid="{F359D1BF-42EF-477C-BAB3-E73392C004FD}" name="Columna8" totalsRowFunction="custom" dataDxfId="20" totalsRowDxfId="19" dataCellStyle="Moneda" totalsRowCellStyle="Moneda">
      <totalsRowFormula>SUBTOTAL(109,F3:F57)</totalsRowFormula>
    </tableColumn>
    <tableColumn id="9" xr3:uid="{92FED690-989A-413F-98F6-16950E6E8458}" name="Columna9" totalsRowFunction="custom" dataDxfId="18" totalsRowDxfId="17">
      <calculatedColumnFormula>E3+#REF!+#REF!-F3</calculatedColumnFormula>
      <totalsRowFormula>SUBTOTAL(109,G3:G57)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5B4A31-CE06-4092-9477-AB12BC9368A5}" name="Tabla46" displayName="Tabla46" ref="A61:F74" totalsRowShown="0" headerRowDxfId="75" headerRowBorderDxfId="74" tableBorderDxfId="73">
  <autoFilter ref="A61:F74" xr:uid="{DE5B4A31-CE06-4092-9477-AB12BC9368A5}"/>
  <tableColumns count="6">
    <tableColumn id="1" xr3:uid="{B39BDC98-4141-4F8F-B5AC-C361DC83BCE1}" name="Año" dataDxfId="72"/>
    <tableColumn id="2" xr3:uid="{79A565B7-65BF-49AB-AD67-42CF9FA6FD71}" name="Mes" dataDxfId="71"/>
    <tableColumn id="3" xr3:uid="{EFCC8E94-62EB-44EA-8EFB-9ADCE762B876}" name="Multas pagadas por usuario" dataDxfId="70"/>
    <tableColumn id="4" xr3:uid="{42A005C8-A41D-448A-A827-041E0FF62E24}" name="Valor Recaudado Multa" dataDxfId="69" dataCellStyle="Moneda"/>
    <tableColumn id="5" xr3:uid="{53F01BF7-67DA-473A-9EBF-96F6B3668F22}" name="Valor por Multa  80%_x000a_ATM" dataDxfId="68" dataCellStyle="Moneda"/>
    <tableColumn id="6" xr3:uid="{AA27CEEA-FED3-42E8-8C4B-F668862A4E8F}" name="Valor por Multa  20%_x000a_Operador" dataDxfId="67" dataCellStyle="Moned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CF2869-E7AA-43F4-986D-8822039C19F2}" name="Tabla247" displayName="Tabla247" ref="A2:G57" totalsRowCount="1" headerRowDxfId="66" tableBorderDxfId="65">
  <autoFilter ref="A2:G56" xr:uid="{EBCF2869-E7AA-43F4-986D-8822039C19F2}"/>
  <tableColumns count="7">
    <tableColumn id="1" xr3:uid="{59F13AD1-61CF-4208-A335-B9285444EDE3}" name="Columna1" dataDxfId="64" totalsRowDxfId="13"/>
    <tableColumn id="2" xr3:uid="{BC1E4744-8341-4866-82A7-38661E1CEF57}" name="Columna2" dataDxfId="63" totalsRowDxfId="12"/>
    <tableColumn id="3" xr3:uid="{C103973F-44AC-427E-98BE-8148B0C592A7}" name="Columna3" dataDxfId="62" totalsRowDxfId="11">
      <calculatedColumnFormula>+D2+1</calculatedColumnFormula>
    </tableColumn>
    <tableColumn id="4" xr3:uid="{017BD919-C68A-4C8E-8CE8-4E91E200EFB2}" name="Columna4" dataDxfId="61" totalsRowDxfId="10">
      <calculatedColumnFormula>+C3+6</calculatedColumnFormula>
    </tableColumn>
    <tableColumn id="5" xr3:uid="{22BA151E-D3CB-455E-BD26-B65249787C97}" name="Columna5" dataDxfId="60" totalsRowDxfId="9" dataCellStyle="Moneda"/>
    <tableColumn id="8" xr3:uid="{7DC82FF8-4983-4B09-A3FF-A6813E1DFBE1}" name="Columna8" totalsRowFunction="custom" dataDxfId="59" totalsRowDxfId="8" dataCellStyle="Moneda">
      <totalsRowFormula>SUBTOTAL(109,F3:F56)</totalsRowFormula>
    </tableColumn>
    <tableColumn id="9" xr3:uid="{85464E66-9A7F-4BE4-B6CE-633C108ED2FA}" name="Columna9" totalsRowFunction="custom" dataDxfId="58" totalsRowDxfId="7">
      <calculatedColumnFormula>E3+#REF!+#REF!-F3</calculatedColumnFormula>
      <totalsRowFormula>SUBTOTAL(109,G3:G56)</totalsRow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DBE6FB-DC43-4ECA-AD94-8780494A916D}" name="Tabla468" displayName="Tabla468" ref="A62:F75" totalsRowShown="0" headerRowDxfId="57" headerRowBorderDxfId="56" tableBorderDxfId="55">
  <autoFilter ref="A62:F75" xr:uid="{DADBE6FB-DC43-4ECA-AD94-8780494A916D}"/>
  <tableColumns count="6">
    <tableColumn id="1" xr3:uid="{5F95F09B-87F6-464A-8F67-C84C13D0932C}" name="Año" dataDxfId="54"/>
    <tableColumn id="2" xr3:uid="{5395CCCD-F1DD-4C65-96AB-E8DE156514FF}" name="Mes" dataDxfId="53"/>
    <tableColumn id="3" xr3:uid="{612B4A4F-95E8-4E46-945D-A3FF93682A30}" name="Multas pagadas por usuario" dataDxfId="52"/>
    <tableColumn id="4" xr3:uid="{C51CDBEF-C8FC-4C06-BD1E-53FD2417FD93}" name="Valor Recaudado Multa" dataDxfId="51" dataCellStyle="Moneda"/>
    <tableColumn id="5" xr3:uid="{FBDBB051-914D-43A8-ADF7-E69E4E6F1BCF}" name="Valor por Multa  80%_x000a_ATM" dataDxfId="50" dataCellStyle="Moneda"/>
    <tableColumn id="6" xr3:uid="{7F2C1444-F837-48CA-9E9C-877C635AEB14}" name="Valor por Multa  20%_x000a_Operador" dataDxfId="49" dataCellStyle="Moned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E5DFBFB-C22E-4FF8-B6E5-E016B8ACE0A6}" name="Tabla24710" displayName="Tabla24710" ref="A2:G10" totalsRowCount="1" headerRowDxfId="48" tableBorderDxfId="47">
  <autoFilter ref="A2:G9" xr:uid="{BE5DFBFB-C22E-4FF8-B6E5-E016B8ACE0A6}"/>
  <tableColumns count="7">
    <tableColumn id="1" xr3:uid="{26E8E42E-B1F3-4734-BE83-A6CE13BC6681}" name="Columna1" dataDxfId="46" totalsRowDxfId="6"/>
    <tableColumn id="2" xr3:uid="{9834C493-B084-4490-8BF4-48004A9BEF6F}" name="Columna2" dataDxfId="45" totalsRowDxfId="5"/>
    <tableColumn id="3" xr3:uid="{12656E8D-1F40-45AD-A5B6-0688C40361F3}" name="Columna3" dataDxfId="44" totalsRowDxfId="4">
      <calculatedColumnFormula>+D2+1</calculatedColumnFormula>
    </tableColumn>
    <tableColumn id="4" xr3:uid="{6E02A236-22F8-4F47-8840-6E591669B67D}" name="Columna4" dataDxfId="43" totalsRowDxfId="3">
      <calculatedColumnFormula>+C3+6</calculatedColumnFormula>
    </tableColumn>
    <tableColumn id="5" xr3:uid="{B21C1BA3-3225-4AE1-B5A0-9EBF2F7F2132}" name="Columna5" dataDxfId="42" totalsRowDxfId="2" dataCellStyle="Moneda"/>
    <tableColumn id="8" xr3:uid="{B075D565-0287-48F5-B3D3-858F11944B55}" name="Columna8" totalsRowFunction="custom" dataDxfId="41" totalsRowDxfId="1" dataCellStyle="Moneda">
      <totalsRowFormula>SUBTOTAL(109,F3:F9)</totalsRowFormula>
    </tableColumn>
    <tableColumn id="9" xr3:uid="{11573088-074E-4E9A-AFA4-AA0E5749F21B}" name="Columna9" totalsRowFunction="custom" dataDxfId="40" totalsRowDxfId="0">
      <calculatedColumnFormula>E3+#REF!+#REF!-F3</calculatedColumnFormula>
      <totalsRowFormula>SUBTOTAL(109,G3:G9)</totalsRow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A7299E-DB0A-4848-90EB-569FB6D145CA}" name="Tabla46812" displayName="Tabla46812" ref="A14:F18" totalsRowShown="0" headerRowDxfId="39" headerRowBorderDxfId="38" tableBorderDxfId="37">
  <autoFilter ref="A14:F18" xr:uid="{F6A7299E-DB0A-4848-90EB-569FB6D145CA}"/>
  <tableColumns count="6">
    <tableColumn id="1" xr3:uid="{677AA457-7CB3-47BC-A35E-D79D68106EEA}" name="Año" dataDxfId="36"/>
    <tableColumn id="2" xr3:uid="{A31CEE63-6215-4D57-B946-2C23AE450D17}" name="Mes" dataDxfId="35"/>
    <tableColumn id="3" xr3:uid="{FA28E250-24A7-4918-BC27-7BA156EAA12E}" name="Multas pagadas por usuario" dataDxfId="34"/>
    <tableColumn id="4" xr3:uid="{81DF6D49-D349-4720-90E4-3BE4E7466A98}" name="Valor Recaudado Multa" dataDxfId="33" dataCellStyle="Moneda"/>
    <tableColumn id="5" xr3:uid="{C2DEC8BC-C938-4DCD-A928-1D5BA43B4834}" name="Valor por Multa  80%_x000a_ATM" dataDxfId="32" dataCellStyle="Moneda"/>
    <tableColumn id="6" xr3:uid="{7AC560E6-89EB-417C-AF01-23BA8732AEE1}" name="Valor por Multa  20%_x000a_Operador" dataDxfId="31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3CD0-3A79-4740-B70F-5EA6FDAB0B53}">
  <dimension ref="A1:J81"/>
  <sheetViews>
    <sheetView topLeftCell="A58" workbookViewId="0">
      <selection activeCell="A68" sqref="A68:F81"/>
    </sheetView>
  </sheetViews>
  <sheetFormatPr baseColWidth="10" defaultRowHeight="14.4" x14ac:dyDescent="0.3"/>
  <cols>
    <col min="3" max="3" width="26.109375" customWidth="1"/>
    <col min="4" max="4" width="22.6640625" customWidth="1"/>
    <col min="5" max="7" width="14" bestFit="1" customWidth="1"/>
    <col min="8" max="8" width="14.77734375" customWidth="1"/>
    <col min="9" max="9" width="14" bestFit="1" customWidth="1"/>
  </cols>
  <sheetData>
    <row r="1" spans="1:10" x14ac:dyDescent="0.3">
      <c r="A1" s="50" t="s">
        <v>0</v>
      </c>
      <c r="B1" s="51"/>
      <c r="C1" s="51"/>
      <c r="D1" s="51"/>
      <c r="E1" s="51"/>
      <c r="F1" s="51"/>
      <c r="G1" s="51"/>
      <c r="H1" s="51"/>
      <c r="I1" s="52"/>
      <c r="J1" s="53"/>
    </row>
    <row r="2" spans="1:10" x14ac:dyDescent="0.3">
      <c r="A2" s="35" t="s">
        <v>87</v>
      </c>
      <c r="B2" s="36" t="s">
        <v>88</v>
      </c>
      <c r="C2" s="37" t="s">
        <v>89</v>
      </c>
      <c r="D2" s="38" t="s">
        <v>90</v>
      </c>
      <c r="E2" s="36" t="s">
        <v>91</v>
      </c>
      <c r="F2" s="36" t="s">
        <v>92</v>
      </c>
      <c r="G2" s="36" t="s">
        <v>93</v>
      </c>
      <c r="H2" s="36" t="s">
        <v>94</v>
      </c>
      <c r="I2" s="36" t="s">
        <v>95</v>
      </c>
      <c r="J2" s="54"/>
    </row>
    <row r="3" spans="1:10" ht="43.2" x14ac:dyDescent="0.3">
      <c r="A3" s="32" t="s">
        <v>1</v>
      </c>
      <c r="B3" s="30" t="s">
        <v>2</v>
      </c>
      <c r="C3" s="33" t="s">
        <v>3</v>
      </c>
      <c r="D3" s="33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96</v>
      </c>
    </row>
    <row r="4" spans="1:10" x14ac:dyDescent="0.3">
      <c r="A4" s="38"/>
      <c r="B4" s="34"/>
      <c r="C4" s="1" t="s">
        <v>8</v>
      </c>
      <c r="D4" s="2" t="s">
        <v>9</v>
      </c>
      <c r="E4" s="31"/>
      <c r="F4" s="31"/>
      <c r="G4" s="31"/>
      <c r="H4" s="31"/>
      <c r="I4" s="31"/>
    </row>
    <row r="5" spans="1:10" x14ac:dyDescent="0.3">
      <c r="A5" s="40">
        <v>1</v>
      </c>
      <c r="B5" s="3" t="s">
        <v>10</v>
      </c>
      <c r="C5" s="4">
        <v>44893</v>
      </c>
      <c r="D5" s="5">
        <f>+C5+6</f>
        <v>44899</v>
      </c>
      <c r="E5" s="6">
        <v>25851.32</v>
      </c>
      <c r="F5" s="6">
        <v>71.75</v>
      </c>
      <c r="G5" s="6">
        <v>1</v>
      </c>
      <c r="H5" s="7">
        <f>+(ROUND(+E5*0.795,2)+(ROUND(+F5*0.795,2)+(ROUND(+G5*0.795,2))))</f>
        <v>20609.64</v>
      </c>
      <c r="I5" s="16">
        <f>E5+F5+G5-H5</f>
        <v>5314.43</v>
      </c>
    </row>
    <row r="6" spans="1:10" x14ac:dyDescent="0.3">
      <c r="A6" s="40">
        <v>2</v>
      </c>
      <c r="B6" s="3" t="s">
        <v>11</v>
      </c>
      <c r="C6" s="4">
        <f>+D5+1</f>
        <v>44900</v>
      </c>
      <c r="D6" s="5">
        <f>+C6+6</f>
        <v>44906</v>
      </c>
      <c r="E6" s="6">
        <v>27362.78</v>
      </c>
      <c r="F6" s="6">
        <v>82.2</v>
      </c>
      <c r="G6" s="6">
        <v>1.04</v>
      </c>
      <c r="H6" s="7">
        <f t="shared" ref="H6:H31" si="0">+(ROUND(+E6*0.795,2)+(ROUND(+F6*0.795,2)+(ROUND(+G6*0.795,2))))</f>
        <v>21819.59</v>
      </c>
      <c r="I6" s="16">
        <f t="shared" ref="I6:I64" si="1">E6+F6+G6-H6</f>
        <v>5626.43</v>
      </c>
    </row>
    <row r="7" spans="1:10" x14ac:dyDescent="0.3">
      <c r="A7" s="40">
        <v>3</v>
      </c>
      <c r="B7" s="3" t="s">
        <v>12</v>
      </c>
      <c r="C7" s="4">
        <f>+D6+1</f>
        <v>44907</v>
      </c>
      <c r="D7" s="5">
        <f>+C7+6</f>
        <v>44913</v>
      </c>
      <c r="E7" s="6">
        <v>28926.42</v>
      </c>
      <c r="F7" s="6">
        <v>68.790000000000006</v>
      </c>
      <c r="G7" s="6">
        <v>4.09</v>
      </c>
      <c r="H7" s="7">
        <f t="shared" si="0"/>
        <v>23054.44</v>
      </c>
      <c r="I7" s="16">
        <f t="shared" si="1"/>
        <v>5944.8600000000006</v>
      </c>
    </row>
    <row r="8" spans="1:10" x14ac:dyDescent="0.3">
      <c r="A8" s="40">
        <v>4</v>
      </c>
      <c r="B8" s="3" t="s">
        <v>13</v>
      </c>
      <c r="C8" s="4">
        <f>+D7+1</f>
        <v>44914</v>
      </c>
      <c r="D8" s="5">
        <f>+C8+6</f>
        <v>44920</v>
      </c>
      <c r="E8" s="6">
        <v>29488.83</v>
      </c>
      <c r="F8" s="6">
        <v>59.08</v>
      </c>
      <c r="G8" s="6">
        <v>5</v>
      </c>
      <c r="H8" s="7">
        <f>(+F8+E8+G8)*0.795</f>
        <v>23494.563450000005</v>
      </c>
      <c r="I8" s="16">
        <f t="shared" si="1"/>
        <v>6058.3465499999984</v>
      </c>
    </row>
    <row r="9" spans="1:10" x14ac:dyDescent="0.3">
      <c r="A9" s="40">
        <v>5</v>
      </c>
      <c r="B9" s="3" t="s">
        <v>14</v>
      </c>
      <c r="C9" s="4">
        <f>+D8+1</f>
        <v>44921</v>
      </c>
      <c r="D9" s="5">
        <f>+C9+6</f>
        <v>44927</v>
      </c>
      <c r="E9" s="9">
        <v>22847.25</v>
      </c>
      <c r="F9" s="10">
        <v>49.25</v>
      </c>
      <c r="G9" s="6">
        <v>0</v>
      </c>
      <c r="H9" s="7">
        <f t="shared" si="0"/>
        <v>18202.710000000003</v>
      </c>
      <c r="I9" s="16">
        <f t="shared" si="1"/>
        <v>4693.7899999999972</v>
      </c>
    </row>
    <row r="10" spans="1:10" x14ac:dyDescent="0.3">
      <c r="A10" s="40">
        <v>6</v>
      </c>
      <c r="B10" s="3" t="s">
        <v>15</v>
      </c>
      <c r="C10" s="4">
        <f t="shared" ref="C10:C31" si="2">+D9+1</f>
        <v>44928</v>
      </c>
      <c r="D10" s="5">
        <f t="shared" ref="D10:D64" si="3">+C10+6</f>
        <v>44934</v>
      </c>
      <c r="E10" s="9">
        <v>21565.22</v>
      </c>
      <c r="F10" s="10">
        <f>(81.74+1.23)</f>
        <v>82.97</v>
      </c>
      <c r="G10" s="6">
        <v>0</v>
      </c>
      <c r="H10" s="7">
        <f t="shared" si="0"/>
        <v>17210.309999999998</v>
      </c>
      <c r="I10" s="16">
        <f t="shared" si="1"/>
        <v>4437.8800000000047</v>
      </c>
    </row>
    <row r="11" spans="1:10" x14ac:dyDescent="0.3">
      <c r="A11" s="40">
        <v>7</v>
      </c>
      <c r="B11" s="3" t="s">
        <v>16</v>
      </c>
      <c r="C11" s="4">
        <f t="shared" si="2"/>
        <v>44935</v>
      </c>
      <c r="D11" s="5">
        <f t="shared" si="3"/>
        <v>44941</v>
      </c>
      <c r="E11" s="9">
        <v>25202.2</v>
      </c>
      <c r="F11" s="10">
        <f>96.1+1.25</f>
        <v>97.35</v>
      </c>
      <c r="G11" s="6">
        <v>0</v>
      </c>
      <c r="H11" s="7">
        <f t="shared" si="0"/>
        <v>20113.14</v>
      </c>
      <c r="I11" s="16">
        <f t="shared" si="1"/>
        <v>5186.41</v>
      </c>
    </row>
    <row r="12" spans="1:10" x14ac:dyDescent="0.3">
      <c r="A12" s="40">
        <v>8</v>
      </c>
      <c r="B12" s="3" t="s">
        <v>17</v>
      </c>
      <c r="C12" s="4">
        <f t="shared" si="2"/>
        <v>44942</v>
      </c>
      <c r="D12" s="5">
        <f t="shared" si="3"/>
        <v>44948</v>
      </c>
      <c r="E12" s="9">
        <v>26566.34</v>
      </c>
      <c r="F12" s="10">
        <f>82.5+0.25</f>
        <v>82.75</v>
      </c>
      <c r="G12" s="6">
        <v>0</v>
      </c>
      <c r="H12" s="7">
        <f t="shared" si="0"/>
        <v>21186.030000000002</v>
      </c>
      <c r="I12" s="16">
        <f t="shared" si="1"/>
        <v>5463.0599999999977</v>
      </c>
    </row>
    <row r="13" spans="1:10" x14ac:dyDescent="0.3">
      <c r="A13" s="40">
        <v>9</v>
      </c>
      <c r="B13" s="3" t="s">
        <v>18</v>
      </c>
      <c r="C13" s="4">
        <f t="shared" si="2"/>
        <v>44949</v>
      </c>
      <c r="D13" s="5">
        <f t="shared" si="3"/>
        <v>44955</v>
      </c>
      <c r="E13" s="9">
        <v>25398.62</v>
      </c>
      <c r="F13" s="10">
        <f>80.85+3.78</f>
        <v>84.63</v>
      </c>
      <c r="G13" s="6">
        <v>0</v>
      </c>
      <c r="H13" s="7">
        <f t="shared" si="0"/>
        <v>20259.18</v>
      </c>
      <c r="I13" s="16">
        <f t="shared" si="1"/>
        <v>5224.07</v>
      </c>
    </row>
    <row r="14" spans="1:10" x14ac:dyDescent="0.3">
      <c r="A14" s="40">
        <v>10</v>
      </c>
      <c r="B14" s="3" t="s">
        <v>19</v>
      </c>
      <c r="C14" s="4">
        <f t="shared" si="2"/>
        <v>44956</v>
      </c>
      <c r="D14" s="5">
        <f t="shared" si="3"/>
        <v>44962</v>
      </c>
      <c r="E14" s="9">
        <v>25373.09</v>
      </c>
      <c r="F14" s="10">
        <f>88.95+9.53</f>
        <v>98.48</v>
      </c>
      <c r="G14" s="6">
        <v>0</v>
      </c>
      <c r="H14" s="7">
        <f t="shared" si="0"/>
        <v>20249.900000000001</v>
      </c>
      <c r="I14" s="16">
        <f t="shared" si="1"/>
        <v>5221.6699999999983</v>
      </c>
    </row>
    <row r="15" spans="1:10" x14ac:dyDescent="0.3">
      <c r="A15" s="40">
        <v>11</v>
      </c>
      <c r="B15" s="3" t="s">
        <v>20</v>
      </c>
      <c r="C15" s="4">
        <f t="shared" si="2"/>
        <v>44963</v>
      </c>
      <c r="D15" s="5">
        <f t="shared" si="3"/>
        <v>44969</v>
      </c>
      <c r="E15" s="9">
        <v>19928.59</v>
      </c>
      <c r="F15" s="10">
        <v>84.51</v>
      </c>
      <c r="G15" s="6">
        <v>0</v>
      </c>
      <c r="H15" s="7">
        <f t="shared" si="0"/>
        <v>15910.42</v>
      </c>
      <c r="I15" s="16">
        <f t="shared" si="1"/>
        <v>4102.6799999999985</v>
      </c>
    </row>
    <row r="16" spans="1:10" x14ac:dyDescent="0.3">
      <c r="A16" s="40">
        <v>12</v>
      </c>
      <c r="B16" s="3" t="s">
        <v>21</v>
      </c>
      <c r="C16" s="4">
        <f t="shared" si="2"/>
        <v>44970</v>
      </c>
      <c r="D16" s="5">
        <f t="shared" si="3"/>
        <v>44976</v>
      </c>
      <c r="E16" s="9">
        <v>23760.35</v>
      </c>
      <c r="F16" s="10">
        <f>70.75+2</f>
        <v>72.75</v>
      </c>
      <c r="G16" s="6">
        <v>0</v>
      </c>
      <c r="H16" s="7">
        <f t="shared" si="0"/>
        <v>18947.32</v>
      </c>
      <c r="I16" s="16">
        <f t="shared" si="1"/>
        <v>4885.7799999999988</v>
      </c>
    </row>
    <row r="17" spans="1:9" x14ac:dyDescent="0.3">
      <c r="A17" s="40">
        <v>13</v>
      </c>
      <c r="B17" s="3" t="s">
        <v>22</v>
      </c>
      <c r="C17" s="4">
        <f t="shared" si="2"/>
        <v>44977</v>
      </c>
      <c r="D17" s="5">
        <f t="shared" si="3"/>
        <v>44983</v>
      </c>
      <c r="E17" s="9">
        <v>16198.16</v>
      </c>
      <c r="F17" s="10">
        <v>43</v>
      </c>
      <c r="G17" s="6">
        <v>0</v>
      </c>
      <c r="H17" s="7">
        <f t="shared" si="0"/>
        <v>12911.730000000001</v>
      </c>
      <c r="I17" s="16">
        <f t="shared" si="1"/>
        <v>3329.4299999999985</v>
      </c>
    </row>
    <row r="18" spans="1:9" x14ac:dyDescent="0.3">
      <c r="A18" s="40">
        <v>14</v>
      </c>
      <c r="B18" s="3" t="s">
        <v>23</v>
      </c>
      <c r="C18" s="4">
        <f t="shared" si="2"/>
        <v>44984</v>
      </c>
      <c r="D18" s="5">
        <f t="shared" si="3"/>
        <v>44990</v>
      </c>
      <c r="E18" s="9">
        <v>24680.11</v>
      </c>
      <c r="F18" s="10">
        <v>69.099999999999994</v>
      </c>
      <c r="G18" s="6">
        <v>0</v>
      </c>
      <c r="H18" s="7">
        <f t="shared" si="0"/>
        <v>19675.62</v>
      </c>
      <c r="I18" s="16">
        <f t="shared" si="1"/>
        <v>5073.59</v>
      </c>
    </row>
    <row r="19" spans="1:9" x14ac:dyDescent="0.3">
      <c r="A19" s="40">
        <v>15</v>
      </c>
      <c r="B19" s="3" t="s">
        <v>24</v>
      </c>
      <c r="C19" s="4">
        <f t="shared" si="2"/>
        <v>44991</v>
      </c>
      <c r="D19" s="5">
        <f t="shared" si="3"/>
        <v>44997</v>
      </c>
      <c r="E19" s="9">
        <v>22203.200000000001</v>
      </c>
      <c r="F19" s="10">
        <v>57.39</v>
      </c>
      <c r="G19" s="6">
        <v>0</v>
      </c>
      <c r="H19" s="7">
        <f t="shared" si="0"/>
        <v>17697.170000000002</v>
      </c>
      <c r="I19" s="16">
        <f t="shared" si="1"/>
        <v>4563.4199999999983</v>
      </c>
    </row>
    <row r="20" spans="1:9" x14ac:dyDescent="0.3">
      <c r="A20" s="40">
        <v>16</v>
      </c>
      <c r="B20" s="3" t="s">
        <v>25</v>
      </c>
      <c r="C20" s="4">
        <f t="shared" si="2"/>
        <v>44998</v>
      </c>
      <c r="D20" s="5">
        <f t="shared" si="3"/>
        <v>45004</v>
      </c>
      <c r="E20" s="9">
        <v>23427.88</v>
      </c>
      <c r="F20" s="10">
        <f>65+3.1</f>
        <v>68.099999999999994</v>
      </c>
      <c r="G20" s="6">
        <v>0</v>
      </c>
      <c r="H20" s="7">
        <f t="shared" si="0"/>
        <v>18679.3</v>
      </c>
      <c r="I20" s="16">
        <f t="shared" si="1"/>
        <v>4816.68</v>
      </c>
    </row>
    <row r="21" spans="1:9" x14ac:dyDescent="0.3">
      <c r="A21" s="40">
        <v>17</v>
      </c>
      <c r="B21" s="3" t="s">
        <v>26</v>
      </c>
      <c r="C21" s="4">
        <f t="shared" si="2"/>
        <v>45005</v>
      </c>
      <c r="D21" s="5">
        <f t="shared" si="3"/>
        <v>45011</v>
      </c>
      <c r="E21" s="9">
        <v>20395.54</v>
      </c>
      <c r="F21" s="10">
        <v>61.75</v>
      </c>
      <c r="G21" s="6">
        <v>0</v>
      </c>
      <c r="H21" s="7">
        <f t="shared" si="0"/>
        <v>16263.54</v>
      </c>
      <c r="I21" s="16">
        <f t="shared" si="1"/>
        <v>4193.75</v>
      </c>
    </row>
    <row r="22" spans="1:9" x14ac:dyDescent="0.3">
      <c r="A22" s="40">
        <v>18</v>
      </c>
      <c r="B22" s="3" t="s">
        <v>27</v>
      </c>
      <c r="C22" s="4">
        <f t="shared" si="2"/>
        <v>45012</v>
      </c>
      <c r="D22" s="5">
        <f t="shared" si="3"/>
        <v>45018</v>
      </c>
      <c r="E22" s="9">
        <v>21999.91</v>
      </c>
      <c r="F22" s="9">
        <v>54.85</v>
      </c>
      <c r="G22" s="6">
        <v>0</v>
      </c>
      <c r="H22" s="7">
        <f t="shared" si="0"/>
        <v>17533.54</v>
      </c>
      <c r="I22" s="16">
        <f t="shared" si="1"/>
        <v>4521.2199999999975</v>
      </c>
    </row>
    <row r="23" spans="1:9" x14ac:dyDescent="0.3">
      <c r="A23" s="40">
        <v>19</v>
      </c>
      <c r="B23" s="3" t="s">
        <v>28</v>
      </c>
      <c r="C23" s="4">
        <f t="shared" si="2"/>
        <v>45019</v>
      </c>
      <c r="D23" s="5">
        <f t="shared" si="3"/>
        <v>45025</v>
      </c>
      <c r="E23" s="9">
        <v>17693.7</v>
      </c>
      <c r="F23" s="10">
        <v>36.25</v>
      </c>
      <c r="G23" s="6">
        <v>0</v>
      </c>
      <c r="H23" s="7">
        <f t="shared" si="0"/>
        <v>14095.31</v>
      </c>
      <c r="I23" s="16">
        <f t="shared" si="1"/>
        <v>3634.6400000000012</v>
      </c>
    </row>
    <row r="24" spans="1:9" x14ac:dyDescent="0.3">
      <c r="A24" s="40">
        <v>20</v>
      </c>
      <c r="B24" s="3" t="s">
        <v>29</v>
      </c>
      <c r="C24" s="4">
        <f t="shared" si="2"/>
        <v>45026</v>
      </c>
      <c r="D24" s="5">
        <f t="shared" si="3"/>
        <v>45032</v>
      </c>
      <c r="E24" s="9">
        <v>22417.08</v>
      </c>
      <c r="F24" s="10">
        <v>51.6</v>
      </c>
      <c r="G24" s="6">
        <v>0</v>
      </c>
      <c r="H24" s="7">
        <f t="shared" si="0"/>
        <v>17862.600000000002</v>
      </c>
      <c r="I24" s="16">
        <f t="shared" si="1"/>
        <v>4606.0799999999981</v>
      </c>
    </row>
    <row r="25" spans="1:9" x14ac:dyDescent="0.3">
      <c r="A25" s="40">
        <v>21</v>
      </c>
      <c r="B25" s="3" t="s">
        <v>30</v>
      </c>
      <c r="C25" s="4">
        <f t="shared" si="2"/>
        <v>45033</v>
      </c>
      <c r="D25" s="5">
        <f t="shared" si="3"/>
        <v>45039</v>
      </c>
      <c r="E25" s="9">
        <v>22045.51</v>
      </c>
      <c r="F25" s="10">
        <f>80+1</f>
        <v>81</v>
      </c>
      <c r="G25" s="6">
        <v>0</v>
      </c>
      <c r="H25" s="7">
        <f t="shared" si="0"/>
        <v>17590.580000000002</v>
      </c>
      <c r="I25" s="16">
        <f t="shared" si="1"/>
        <v>4535.9299999999967</v>
      </c>
    </row>
    <row r="26" spans="1:9" x14ac:dyDescent="0.3">
      <c r="A26" s="40">
        <v>22</v>
      </c>
      <c r="B26" s="3" t="s">
        <v>31</v>
      </c>
      <c r="C26" s="4">
        <f t="shared" si="2"/>
        <v>45040</v>
      </c>
      <c r="D26" s="5">
        <f t="shared" si="3"/>
        <v>45046</v>
      </c>
      <c r="E26" s="9">
        <v>21866.92</v>
      </c>
      <c r="F26" s="10">
        <f>65.25+0.5</f>
        <v>65.75</v>
      </c>
      <c r="G26" s="6">
        <v>0</v>
      </c>
      <c r="H26" s="7">
        <f t="shared" si="0"/>
        <v>17436.47</v>
      </c>
      <c r="I26" s="16">
        <f t="shared" si="1"/>
        <v>4496.1999999999971</v>
      </c>
    </row>
    <row r="27" spans="1:9" x14ac:dyDescent="0.3">
      <c r="A27" s="40">
        <v>23</v>
      </c>
      <c r="B27" s="3" t="s">
        <v>32</v>
      </c>
      <c r="C27" s="4">
        <f t="shared" si="2"/>
        <v>45047</v>
      </c>
      <c r="D27" s="5">
        <f t="shared" si="3"/>
        <v>45053</v>
      </c>
      <c r="E27" s="9">
        <v>19304.88</v>
      </c>
      <c r="F27" s="10">
        <v>83.8</v>
      </c>
      <c r="G27" s="6">
        <v>0</v>
      </c>
      <c r="H27" s="7">
        <f t="shared" si="0"/>
        <v>15414</v>
      </c>
      <c r="I27" s="16">
        <f t="shared" si="1"/>
        <v>3974.6800000000003</v>
      </c>
    </row>
    <row r="28" spans="1:9" x14ac:dyDescent="0.3">
      <c r="A28" s="40">
        <v>24</v>
      </c>
      <c r="B28" s="3" t="s">
        <v>33</v>
      </c>
      <c r="C28" s="4">
        <f t="shared" si="2"/>
        <v>45054</v>
      </c>
      <c r="D28" s="5">
        <f t="shared" si="3"/>
        <v>45060</v>
      </c>
      <c r="E28" s="9">
        <v>22724.87</v>
      </c>
      <c r="F28" s="10">
        <f>66+1</f>
        <v>67</v>
      </c>
      <c r="G28" s="6">
        <v>0</v>
      </c>
      <c r="H28" s="7">
        <f t="shared" si="0"/>
        <v>18119.54</v>
      </c>
      <c r="I28" s="16">
        <f t="shared" si="1"/>
        <v>4672.3299999999981</v>
      </c>
    </row>
    <row r="29" spans="1:9" x14ac:dyDescent="0.3">
      <c r="A29" s="40">
        <v>25</v>
      </c>
      <c r="B29" s="3" t="s">
        <v>34</v>
      </c>
      <c r="C29" s="4">
        <f t="shared" si="2"/>
        <v>45061</v>
      </c>
      <c r="D29" s="5">
        <f t="shared" si="3"/>
        <v>45067</v>
      </c>
      <c r="E29" s="9">
        <v>22853.46</v>
      </c>
      <c r="F29" s="10">
        <f>139.75+0.75</f>
        <v>140.5</v>
      </c>
      <c r="G29" s="6">
        <v>0</v>
      </c>
      <c r="H29" s="7">
        <f t="shared" si="0"/>
        <v>18280.2</v>
      </c>
      <c r="I29" s="16">
        <f t="shared" si="1"/>
        <v>4713.7599999999984</v>
      </c>
    </row>
    <row r="30" spans="1:9" x14ac:dyDescent="0.3">
      <c r="A30" s="40">
        <v>26</v>
      </c>
      <c r="B30" s="3" t="s">
        <v>35</v>
      </c>
      <c r="C30" s="4">
        <f t="shared" si="2"/>
        <v>45068</v>
      </c>
      <c r="D30" s="5">
        <f t="shared" si="3"/>
        <v>45074</v>
      </c>
      <c r="E30" s="9">
        <v>18143.82</v>
      </c>
      <c r="F30" s="10">
        <f>85.3+0.75</f>
        <v>86.05</v>
      </c>
      <c r="G30" s="6">
        <v>0</v>
      </c>
      <c r="H30" s="7">
        <f t="shared" si="0"/>
        <v>14492.75</v>
      </c>
      <c r="I30" s="16">
        <f t="shared" si="1"/>
        <v>3737.119999999999</v>
      </c>
    </row>
    <row r="31" spans="1:9" x14ac:dyDescent="0.3">
      <c r="A31" s="40">
        <v>27</v>
      </c>
      <c r="B31" s="3" t="s">
        <v>36</v>
      </c>
      <c r="C31" s="4">
        <f t="shared" si="2"/>
        <v>45075</v>
      </c>
      <c r="D31" s="5">
        <f t="shared" si="3"/>
        <v>45081</v>
      </c>
      <c r="E31" s="11">
        <v>23578.71</v>
      </c>
      <c r="F31" s="12">
        <f>56.5+3.5</f>
        <v>60</v>
      </c>
      <c r="G31" s="13">
        <v>0</v>
      </c>
      <c r="H31" s="14">
        <f t="shared" si="0"/>
        <v>18792.77</v>
      </c>
      <c r="I31" s="16">
        <f t="shared" si="1"/>
        <v>4845.9399999999987</v>
      </c>
    </row>
    <row r="32" spans="1:9" x14ac:dyDescent="0.3">
      <c r="A32" s="40">
        <v>28</v>
      </c>
      <c r="B32" s="3" t="s">
        <v>37</v>
      </c>
      <c r="C32" s="4">
        <f>+D25+1</f>
        <v>45040</v>
      </c>
      <c r="D32" s="5">
        <f t="shared" si="3"/>
        <v>45046</v>
      </c>
      <c r="E32" s="9">
        <v>21941.46</v>
      </c>
      <c r="F32" s="10">
        <v>40.86</v>
      </c>
      <c r="G32" s="17">
        <v>0</v>
      </c>
      <c r="H32" s="7">
        <f>+(ROUND(+E32*0.795,2)+(ROUND(+F32*0.795,2)+(ROUND(+G32*0.795,2))))</f>
        <v>17475.939999999999</v>
      </c>
      <c r="I32" s="16">
        <f t="shared" si="1"/>
        <v>4506.380000000001</v>
      </c>
    </row>
    <row r="33" spans="1:9" x14ac:dyDescent="0.3">
      <c r="A33" s="40">
        <v>29</v>
      </c>
      <c r="B33" s="3" t="s">
        <v>38</v>
      </c>
      <c r="C33" s="4">
        <f t="shared" ref="C33:C53" si="4">+D32+1</f>
        <v>45047</v>
      </c>
      <c r="D33" s="5">
        <f t="shared" si="3"/>
        <v>45053</v>
      </c>
      <c r="E33" s="9">
        <v>23231.89</v>
      </c>
      <c r="F33" s="10">
        <v>52.75</v>
      </c>
      <c r="G33" s="17">
        <v>0.25</v>
      </c>
      <c r="H33" s="7">
        <f>+(ROUND(+E33*0.795,2)+(ROUND(+F33*0.795,2)+(ROUND(+G33*0.795,2))))</f>
        <v>18511.489999999998</v>
      </c>
      <c r="I33" s="16">
        <f t="shared" si="1"/>
        <v>4773.4000000000015</v>
      </c>
    </row>
    <row r="34" spans="1:9" x14ac:dyDescent="0.3">
      <c r="A34" s="40">
        <v>30</v>
      </c>
      <c r="B34" s="3" t="s">
        <v>39</v>
      </c>
      <c r="C34" s="4">
        <f t="shared" si="4"/>
        <v>45054</v>
      </c>
      <c r="D34" s="5">
        <f t="shared" si="3"/>
        <v>45060</v>
      </c>
      <c r="E34" s="9">
        <v>23561.38</v>
      </c>
      <c r="F34" s="10">
        <v>74.349999999999994</v>
      </c>
      <c r="G34" s="17">
        <v>1</v>
      </c>
      <c r="H34" s="7">
        <f t="shared" ref="H34:H55" si="5">+(ROUND(+E34*0.795,2)+(ROUND(+F34*0.795,2)+(ROUND(+G34*0.795,2))))</f>
        <v>18791.21</v>
      </c>
      <c r="I34" s="16">
        <f t="shared" si="1"/>
        <v>4845.5200000000004</v>
      </c>
    </row>
    <row r="35" spans="1:9" x14ac:dyDescent="0.3">
      <c r="A35" s="40">
        <v>31</v>
      </c>
      <c r="B35" s="3" t="s">
        <v>40</v>
      </c>
      <c r="C35" s="4">
        <f t="shared" si="4"/>
        <v>45061</v>
      </c>
      <c r="D35" s="5">
        <f t="shared" si="3"/>
        <v>45067</v>
      </c>
      <c r="E35" s="9">
        <v>23803.4</v>
      </c>
      <c r="F35" s="10">
        <v>56.55</v>
      </c>
      <c r="G35" s="17">
        <v>0.5</v>
      </c>
      <c r="H35" s="7">
        <f t="shared" si="5"/>
        <v>18969.060000000001</v>
      </c>
      <c r="I35" s="16">
        <f t="shared" si="1"/>
        <v>4891.3899999999994</v>
      </c>
    </row>
    <row r="36" spans="1:9" x14ac:dyDescent="0.3">
      <c r="A36" s="40">
        <v>32</v>
      </c>
      <c r="B36" s="3" t="s">
        <v>41</v>
      </c>
      <c r="C36" s="4">
        <f t="shared" si="4"/>
        <v>45068</v>
      </c>
      <c r="D36" s="5">
        <f t="shared" si="3"/>
        <v>45074</v>
      </c>
      <c r="E36" s="9">
        <v>23975.15</v>
      </c>
      <c r="F36" s="10">
        <v>95.45</v>
      </c>
      <c r="G36" s="17">
        <v>2.25</v>
      </c>
      <c r="H36" s="7">
        <f t="shared" si="5"/>
        <v>19137.91</v>
      </c>
      <c r="I36" s="16">
        <f t="shared" si="1"/>
        <v>4934.9400000000023</v>
      </c>
    </row>
    <row r="37" spans="1:9" x14ac:dyDescent="0.3">
      <c r="A37" s="40">
        <v>33</v>
      </c>
      <c r="B37" s="3" t="s">
        <v>42</v>
      </c>
      <c r="C37" s="4">
        <f t="shared" si="4"/>
        <v>45075</v>
      </c>
      <c r="D37" s="5">
        <f t="shared" si="3"/>
        <v>45081</v>
      </c>
      <c r="E37" s="9">
        <v>25445.08</v>
      </c>
      <c r="F37" s="10">
        <v>71</v>
      </c>
      <c r="G37" s="17">
        <v>3.5</v>
      </c>
      <c r="H37" s="7">
        <f t="shared" si="5"/>
        <v>20288.07</v>
      </c>
      <c r="I37" s="16">
        <f t="shared" si="1"/>
        <v>5231.510000000002</v>
      </c>
    </row>
    <row r="38" spans="1:9" x14ac:dyDescent="0.3">
      <c r="A38" s="40">
        <v>34</v>
      </c>
      <c r="B38" s="3" t="s">
        <v>43</v>
      </c>
      <c r="C38" s="4">
        <f t="shared" si="4"/>
        <v>45082</v>
      </c>
      <c r="D38" s="5">
        <f t="shared" si="3"/>
        <v>45088</v>
      </c>
      <c r="E38" s="9">
        <v>26218.39</v>
      </c>
      <c r="F38" s="9">
        <v>58</v>
      </c>
      <c r="G38" s="17">
        <v>1</v>
      </c>
      <c r="H38" s="7">
        <f t="shared" si="5"/>
        <v>20890.53</v>
      </c>
      <c r="I38" s="16">
        <f t="shared" si="1"/>
        <v>5386.8600000000006</v>
      </c>
    </row>
    <row r="39" spans="1:9" x14ac:dyDescent="0.3">
      <c r="A39" s="40">
        <v>35</v>
      </c>
      <c r="B39" s="3" t="s">
        <v>44</v>
      </c>
      <c r="C39" s="4">
        <f t="shared" si="4"/>
        <v>45089</v>
      </c>
      <c r="D39" s="5">
        <f t="shared" si="3"/>
        <v>45095</v>
      </c>
      <c r="E39" s="9">
        <v>19192.989999999998</v>
      </c>
      <c r="F39" s="9">
        <v>27.75</v>
      </c>
      <c r="G39" s="17">
        <v>0.25</v>
      </c>
      <c r="H39" s="7">
        <f t="shared" si="5"/>
        <v>15280.69</v>
      </c>
      <c r="I39" s="16">
        <f t="shared" si="1"/>
        <v>3940.2999999999975</v>
      </c>
    </row>
    <row r="40" spans="1:9" x14ac:dyDescent="0.3">
      <c r="A40" s="40">
        <v>36</v>
      </c>
      <c r="B40" s="3" t="s">
        <v>45</v>
      </c>
      <c r="C40" s="4">
        <f t="shared" si="4"/>
        <v>45096</v>
      </c>
      <c r="D40" s="5">
        <f t="shared" si="3"/>
        <v>45102</v>
      </c>
      <c r="E40" s="9">
        <v>25459.149999999998</v>
      </c>
      <c r="F40" s="9">
        <v>46.7</v>
      </c>
      <c r="G40" s="17">
        <v>0.5</v>
      </c>
      <c r="H40" s="7">
        <f t="shared" si="5"/>
        <v>20277.55</v>
      </c>
      <c r="I40" s="16">
        <f t="shared" si="1"/>
        <v>5228.7999999999993</v>
      </c>
    </row>
    <row r="41" spans="1:9" x14ac:dyDescent="0.3">
      <c r="A41" s="40">
        <v>37</v>
      </c>
      <c r="B41" s="3" t="s">
        <v>46</v>
      </c>
      <c r="C41" s="4">
        <f t="shared" si="4"/>
        <v>45103</v>
      </c>
      <c r="D41" s="5">
        <f t="shared" si="3"/>
        <v>45109</v>
      </c>
      <c r="E41" s="9">
        <v>19407.489999999998</v>
      </c>
      <c r="F41" s="9">
        <v>41.75</v>
      </c>
      <c r="G41" s="17">
        <v>0</v>
      </c>
      <c r="H41" s="7">
        <f t="shared" si="5"/>
        <v>15462.140000000001</v>
      </c>
      <c r="I41" s="16">
        <f t="shared" si="1"/>
        <v>3987.0999999999967</v>
      </c>
    </row>
    <row r="42" spans="1:9" x14ac:dyDescent="0.3">
      <c r="A42" s="40">
        <v>38</v>
      </c>
      <c r="B42" s="3" t="s">
        <v>47</v>
      </c>
      <c r="C42" s="4">
        <f t="shared" si="4"/>
        <v>45110</v>
      </c>
      <c r="D42" s="5">
        <f t="shared" si="3"/>
        <v>45116</v>
      </c>
      <c r="E42" s="9">
        <v>22925.300000000003</v>
      </c>
      <c r="F42" s="9">
        <v>25.77</v>
      </c>
      <c r="G42" s="17">
        <v>1.75</v>
      </c>
      <c r="H42" s="7">
        <f t="shared" si="5"/>
        <v>18247.490000000002</v>
      </c>
      <c r="I42" s="16">
        <f t="shared" si="1"/>
        <v>4705.3300000000017</v>
      </c>
    </row>
    <row r="43" spans="1:9" x14ac:dyDescent="0.3">
      <c r="A43" s="40">
        <v>39</v>
      </c>
      <c r="B43" s="3" t="s">
        <v>48</v>
      </c>
      <c r="C43" s="4">
        <f t="shared" si="4"/>
        <v>45117</v>
      </c>
      <c r="D43" s="5">
        <f t="shared" si="3"/>
        <v>45123</v>
      </c>
      <c r="E43" s="9">
        <v>23453.09</v>
      </c>
      <c r="F43" s="9">
        <v>45.5</v>
      </c>
      <c r="G43" s="17">
        <v>2.75</v>
      </c>
      <c r="H43" s="7">
        <f t="shared" si="5"/>
        <v>18683.57</v>
      </c>
      <c r="I43" s="16">
        <f t="shared" si="1"/>
        <v>4817.7700000000004</v>
      </c>
    </row>
    <row r="44" spans="1:9" x14ac:dyDescent="0.3">
      <c r="A44" s="40">
        <v>40</v>
      </c>
      <c r="B44" s="3" t="s">
        <v>49</v>
      </c>
      <c r="C44" s="4">
        <f t="shared" si="4"/>
        <v>45124</v>
      </c>
      <c r="D44" s="5">
        <f t="shared" si="3"/>
        <v>45130</v>
      </c>
      <c r="E44" s="9">
        <v>23496.48</v>
      </c>
      <c r="F44" s="9">
        <v>58.3</v>
      </c>
      <c r="G44" s="17">
        <v>0</v>
      </c>
      <c r="H44" s="7">
        <f t="shared" si="5"/>
        <v>18726.05</v>
      </c>
      <c r="I44" s="16">
        <f t="shared" si="1"/>
        <v>4828.7299999999996</v>
      </c>
    </row>
    <row r="45" spans="1:9" x14ac:dyDescent="0.3">
      <c r="A45" s="40">
        <v>41</v>
      </c>
      <c r="B45" s="3" t="s">
        <v>50</v>
      </c>
      <c r="C45" s="4">
        <f t="shared" si="4"/>
        <v>45131</v>
      </c>
      <c r="D45" s="5">
        <f t="shared" si="3"/>
        <v>45137</v>
      </c>
      <c r="E45" s="9">
        <v>24779.39</v>
      </c>
      <c r="F45" s="9">
        <v>39.5</v>
      </c>
      <c r="G45" s="17">
        <v>1</v>
      </c>
      <c r="H45" s="7">
        <f t="shared" si="5"/>
        <v>19731.82</v>
      </c>
      <c r="I45" s="16">
        <f t="shared" si="1"/>
        <v>5088.07</v>
      </c>
    </row>
    <row r="46" spans="1:9" x14ac:dyDescent="0.3">
      <c r="A46" s="40">
        <v>42</v>
      </c>
      <c r="B46" s="3" t="s">
        <v>51</v>
      </c>
      <c r="C46" s="4">
        <f t="shared" si="4"/>
        <v>45138</v>
      </c>
      <c r="D46" s="5">
        <f t="shared" si="3"/>
        <v>45144</v>
      </c>
      <c r="E46" s="9">
        <v>24437.759999999998</v>
      </c>
      <c r="F46" s="9">
        <v>50.5</v>
      </c>
      <c r="G46" s="17">
        <v>0.75</v>
      </c>
      <c r="H46" s="7">
        <f t="shared" si="5"/>
        <v>19468.77</v>
      </c>
      <c r="I46" s="16">
        <f t="shared" si="1"/>
        <v>5020.239999999998</v>
      </c>
    </row>
    <row r="47" spans="1:9" x14ac:dyDescent="0.3">
      <c r="A47" s="40">
        <v>43</v>
      </c>
      <c r="B47" s="3" t="s">
        <v>52</v>
      </c>
      <c r="C47" s="4">
        <f t="shared" si="4"/>
        <v>45145</v>
      </c>
      <c r="D47" s="5">
        <f t="shared" si="3"/>
        <v>45151</v>
      </c>
      <c r="E47" s="9">
        <v>25358.1</v>
      </c>
      <c r="F47" s="9">
        <v>55.66</v>
      </c>
      <c r="G47" s="17">
        <v>0</v>
      </c>
      <c r="H47" s="7">
        <f t="shared" si="5"/>
        <v>20203.939999999999</v>
      </c>
      <c r="I47" s="16">
        <f t="shared" si="1"/>
        <v>5209.82</v>
      </c>
    </row>
    <row r="48" spans="1:9" x14ac:dyDescent="0.3">
      <c r="A48" s="40">
        <v>44</v>
      </c>
      <c r="B48" s="3" t="s">
        <v>53</v>
      </c>
      <c r="C48" s="4">
        <f t="shared" si="4"/>
        <v>45152</v>
      </c>
      <c r="D48" s="5">
        <f t="shared" si="3"/>
        <v>45158</v>
      </c>
      <c r="E48" s="9">
        <v>24433.96</v>
      </c>
      <c r="F48" s="9">
        <v>27.5</v>
      </c>
      <c r="G48" s="17">
        <v>0</v>
      </c>
      <c r="H48" s="7">
        <f t="shared" si="5"/>
        <v>19446.86</v>
      </c>
      <c r="I48" s="16">
        <f t="shared" si="1"/>
        <v>5014.5999999999985</v>
      </c>
    </row>
    <row r="49" spans="1:9" x14ac:dyDescent="0.3">
      <c r="A49" s="40">
        <v>45</v>
      </c>
      <c r="B49" s="3" t="s">
        <v>54</v>
      </c>
      <c r="C49" s="4">
        <f t="shared" si="4"/>
        <v>45159</v>
      </c>
      <c r="D49" s="5">
        <f t="shared" si="3"/>
        <v>45165</v>
      </c>
      <c r="E49" s="9">
        <v>25000.41</v>
      </c>
      <c r="F49" s="9">
        <v>33.5</v>
      </c>
      <c r="G49" s="17">
        <v>0</v>
      </c>
      <c r="H49" s="7">
        <f t="shared" si="5"/>
        <v>19901.960000000003</v>
      </c>
      <c r="I49" s="16">
        <f t="shared" si="1"/>
        <v>5131.9499999999971</v>
      </c>
    </row>
    <row r="50" spans="1:9" x14ac:dyDescent="0.3">
      <c r="A50" s="40">
        <v>46</v>
      </c>
      <c r="B50" s="3" t="s">
        <v>55</v>
      </c>
      <c r="C50" s="4">
        <f t="shared" si="4"/>
        <v>45166</v>
      </c>
      <c r="D50" s="5">
        <f t="shared" si="3"/>
        <v>45172</v>
      </c>
      <c r="E50" s="9">
        <v>19885.79</v>
      </c>
      <c r="F50" s="9">
        <v>42.16</v>
      </c>
      <c r="G50" s="17">
        <v>0.25</v>
      </c>
      <c r="H50" s="7">
        <f t="shared" si="5"/>
        <v>15842.92</v>
      </c>
      <c r="I50" s="16">
        <f t="shared" si="1"/>
        <v>4085.2800000000007</v>
      </c>
    </row>
    <row r="51" spans="1:9" x14ac:dyDescent="0.3">
      <c r="A51" s="40">
        <v>47</v>
      </c>
      <c r="B51" s="3" t="s">
        <v>56</v>
      </c>
      <c r="C51" s="4">
        <f t="shared" si="4"/>
        <v>45173</v>
      </c>
      <c r="D51" s="5">
        <f t="shared" si="3"/>
        <v>45179</v>
      </c>
      <c r="E51" s="9">
        <v>25547.18</v>
      </c>
      <c r="F51" s="9">
        <v>58.96</v>
      </c>
      <c r="G51" s="17">
        <v>0</v>
      </c>
      <c r="H51" s="7">
        <f t="shared" si="5"/>
        <v>20356.879999999997</v>
      </c>
      <c r="I51" s="16">
        <f t="shared" si="1"/>
        <v>5249.260000000002</v>
      </c>
    </row>
    <row r="52" spans="1:9" x14ac:dyDescent="0.3">
      <c r="A52" s="40">
        <v>48</v>
      </c>
      <c r="B52" s="3" t="s">
        <v>57</v>
      </c>
      <c r="C52" s="4">
        <f t="shared" si="4"/>
        <v>45180</v>
      </c>
      <c r="D52" s="5">
        <f t="shared" si="3"/>
        <v>45186</v>
      </c>
      <c r="E52" s="9">
        <v>24110.3</v>
      </c>
      <c r="F52" s="9">
        <v>33.25</v>
      </c>
      <c r="G52" s="17">
        <v>0</v>
      </c>
      <c r="H52" s="7">
        <f t="shared" si="5"/>
        <v>19194.12</v>
      </c>
      <c r="I52" s="16">
        <f t="shared" si="1"/>
        <v>4949.43</v>
      </c>
    </row>
    <row r="53" spans="1:9" x14ac:dyDescent="0.3">
      <c r="A53" s="40">
        <v>49</v>
      </c>
      <c r="B53" s="3" t="s">
        <v>58</v>
      </c>
      <c r="C53" s="4">
        <f t="shared" si="4"/>
        <v>45187</v>
      </c>
      <c r="D53" s="5">
        <f t="shared" si="3"/>
        <v>45193</v>
      </c>
      <c r="E53" s="9">
        <v>15304.74</v>
      </c>
      <c r="F53" s="9">
        <v>21.25</v>
      </c>
      <c r="G53" s="17">
        <v>0.25</v>
      </c>
      <c r="H53" s="14">
        <f t="shared" si="5"/>
        <v>12184.36</v>
      </c>
      <c r="I53" s="16">
        <f t="shared" si="1"/>
        <v>3141.8799999999992</v>
      </c>
    </row>
    <row r="54" spans="1:9" x14ac:dyDescent="0.3">
      <c r="A54" s="40">
        <v>50</v>
      </c>
      <c r="B54" s="3" t="s">
        <v>59</v>
      </c>
      <c r="C54" s="4">
        <v>45236</v>
      </c>
      <c r="D54" s="5">
        <f t="shared" si="3"/>
        <v>45242</v>
      </c>
      <c r="E54" s="10">
        <v>24771.5</v>
      </c>
      <c r="F54" s="10">
        <v>54</v>
      </c>
      <c r="G54" s="17">
        <v>0</v>
      </c>
      <c r="H54" s="14">
        <f t="shared" si="5"/>
        <v>19736.27</v>
      </c>
      <c r="I54" s="16">
        <f t="shared" si="1"/>
        <v>5089.2299999999996</v>
      </c>
    </row>
    <row r="55" spans="1:9" x14ac:dyDescent="0.3">
      <c r="A55" s="40">
        <v>51</v>
      </c>
      <c r="B55" s="3" t="s">
        <v>60</v>
      </c>
      <c r="C55" s="4">
        <f t="shared" ref="C55:C56" si="6">+D54+1</f>
        <v>45243</v>
      </c>
      <c r="D55" s="5">
        <f t="shared" si="3"/>
        <v>45249</v>
      </c>
      <c r="E55" s="10">
        <v>24835.919999999998</v>
      </c>
      <c r="F55" s="10">
        <v>30.25</v>
      </c>
      <c r="G55" s="17">
        <v>0</v>
      </c>
      <c r="H55" s="14">
        <f t="shared" si="5"/>
        <v>19768.61</v>
      </c>
      <c r="I55" s="16">
        <f t="shared" si="1"/>
        <v>5097.5599999999977</v>
      </c>
    </row>
    <row r="56" spans="1:9" x14ac:dyDescent="0.3">
      <c r="A56" s="23">
        <v>52</v>
      </c>
      <c r="B56" s="18" t="s">
        <v>61</v>
      </c>
      <c r="C56" s="19">
        <f t="shared" si="6"/>
        <v>45250</v>
      </c>
      <c r="D56" s="20">
        <f t="shared" si="3"/>
        <v>45256</v>
      </c>
      <c r="E56" s="12">
        <v>24475.37</v>
      </c>
      <c r="F56" s="12">
        <v>30.6</v>
      </c>
      <c r="G56" s="21">
        <v>2.89</v>
      </c>
      <c r="H56" s="14">
        <f>ROUND(+(E56+F56+G56)*0.795,2)</f>
        <v>19484.54</v>
      </c>
      <c r="I56" s="16">
        <f t="shared" si="1"/>
        <v>5024.3199999999961</v>
      </c>
    </row>
    <row r="57" spans="1:9" x14ac:dyDescent="0.3">
      <c r="A57" s="40">
        <v>53</v>
      </c>
      <c r="B57" s="3" t="s">
        <v>62</v>
      </c>
      <c r="C57" s="4">
        <f>+D51+1</f>
        <v>45180</v>
      </c>
      <c r="D57" s="5">
        <f t="shared" si="3"/>
        <v>45186</v>
      </c>
      <c r="E57" s="9">
        <v>25345.61</v>
      </c>
      <c r="F57" s="9">
        <v>45.66</v>
      </c>
      <c r="G57" s="9">
        <v>0.25</v>
      </c>
      <c r="H57" s="7">
        <f t="shared" ref="H57:H61" si="7">+(ROUND(+E57*0.795,2)+(ROUND(+F57*0.795,2)+(ROUND(+G57*0.795,2))))</f>
        <v>20186.259999999998</v>
      </c>
      <c r="I57" s="16">
        <f t="shared" si="1"/>
        <v>5205.260000000002</v>
      </c>
    </row>
    <row r="58" spans="1:9" x14ac:dyDescent="0.3">
      <c r="A58" s="40">
        <v>54</v>
      </c>
      <c r="B58" s="3" t="s">
        <v>63</v>
      </c>
      <c r="C58" s="4">
        <f t="shared" ref="C58:C61" si="8">+D57+1</f>
        <v>45187</v>
      </c>
      <c r="D58" s="5">
        <f t="shared" si="3"/>
        <v>45193</v>
      </c>
      <c r="E58" s="9">
        <v>26050.19</v>
      </c>
      <c r="F58" s="9">
        <v>51.89</v>
      </c>
      <c r="G58" s="9">
        <v>0.25</v>
      </c>
      <c r="H58" s="7">
        <f t="shared" si="7"/>
        <v>20751.350000000002</v>
      </c>
      <c r="I58" s="16">
        <f t="shared" si="1"/>
        <v>5350.9799999999959</v>
      </c>
    </row>
    <row r="59" spans="1:9" x14ac:dyDescent="0.3">
      <c r="A59" s="40">
        <v>55</v>
      </c>
      <c r="B59" s="3" t="s">
        <v>64</v>
      </c>
      <c r="C59" s="4">
        <f t="shared" si="8"/>
        <v>45194</v>
      </c>
      <c r="D59" s="5">
        <f t="shared" si="3"/>
        <v>45200</v>
      </c>
      <c r="E59" s="22">
        <f>26840.87+5.35</f>
        <v>26846.219999999998</v>
      </c>
      <c r="F59" s="9">
        <v>41.45</v>
      </c>
      <c r="G59" s="9">
        <v>1.76</v>
      </c>
      <c r="H59" s="7">
        <f t="shared" si="7"/>
        <v>21377.09</v>
      </c>
      <c r="I59" s="16">
        <f t="shared" si="1"/>
        <v>5512.3399999999965</v>
      </c>
    </row>
    <row r="60" spans="1:9" x14ac:dyDescent="0.3">
      <c r="A60" s="40">
        <v>56</v>
      </c>
      <c r="B60" s="3" t="s">
        <v>65</v>
      </c>
      <c r="C60" s="4">
        <f t="shared" si="8"/>
        <v>45201</v>
      </c>
      <c r="D60" s="5">
        <f t="shared" si="3"/>
        <v>45207</v>
      </c>
      <c r="E60" s="22">
        <v>29064.62</v>
      </c>
      <c r="F60" s="9">
        <v>35.200000000000003</v>
      </c>
      <c r="G60" s="9">
        <v>0.25</v>
      </c>
      <c r="H60" s="7">
        <f t="shared" si="7"/>
        <v>23134.55</v>
      </c>
      <c r="I60" s="16">
        <f t="shared" si="1"/>
        <v>5965.52</v>
      </c>
    </row>
    <row r="61" spans="1:9" x14ac:dyDescent="0.3">
      <c r="A61" s="40">
        <v>57</v>
      </c>
      <c r="B61" s="3" t="s">
        <v>66</v>
      </c>
      <c r="C61" s="4">
        <f t="shared" si="8"/>
        <v>45208</v>
      </c>
      <c r="D61" s="5">
        <f t="shared" si="3"/>
        <v>45214</v>
      </c>
      <c r="E61" s="22">
        <f>20428.3+12.11</f>
        <v>20440.41</v>
      </c>
      <c r="F61" s="9">
        <v>12.9</v>
      </c>
      <c r="G61" s="9">
        <v>0</v>
      </c>
      <c r="H61" s="7">
        <f t="shared" si="7"/>
        <v>16260.39</v>
      </c>
      <c r="I61" s="16">
        <f t="shared" si="1"/>
        <v>4192.9200000000019</v>
      </c>
    </row>
    <row r="62" spans="1:9" x14ac:dyDescent="0.3">
      <c r="A62" s="40">
        <v>58</v>
      </c>
      <c r="B62" s="3" t="s">
        <v>67</v>
      </c>
      <c r="C62" s="4">
        <f>+D61+1</f>
        <v>45215</v>
      </c>
      <c r="D62" s="5">
        <f t="shared" si="3"/>
        <v>45221</v>
      </c>
      <c r="E62" s="22">
        <v>21436.3</v>
      </c>
      <c r="F62" s="9">
        <v>32.49</v>
      </c>
      <c r="G62" s="9">
        <v>0</v>
      </c>
      <c r="H62" s="14">
        <f t="shared" ref="H62:H64" si="9">ROUND(+(E62+F62+G62)*0.795,2)</f>
        <v>17067.689999999999</v>
      </c>
      <c r="I62" s="16">
        <f t="shared" si="1"/>
        <v>4401.1000000000022</v>
      </c>
    </row>
    <row r="63" spans="1:9" x14ac:dyDescent="0.3">
      <c r="A63" s="40">
        <v>59</v>
      </c>
      <c r="B63" s="3" t="s">
        <v>68</v>
      </c>
      <c r="C63" s="4">
        <f>+D62+1</f>
        <v>45222</v>
      </c>
      <c r="D63" s="5">
        <f t="shared" si="3"/>
        <v>45228</v>
      </c>
      <c r="E63" s="9">
        <v>14771.7</v>
      </c>
      <c r="F63" s="9">
        <v>18</v>
      </c>
      <c r="G63" s="9">
        <v>0.69</v>
      </c>
      <c r="H63" s="14">
        <f t="shared" si="9"/>
        <v>11758.36</v>
      </c>
      <c r="I63" s="16">
        <f t="shared" si="1"/>
        <v>3032.0300000000007</v>
      </c>
    </row>
    <row r="64" spans="1:9" x14ac:dyDescent="0.3">
      <c r="A64" s="40">
        <v>60</v>
      </c>
      <c r="B64" s="3" t="s">
        <v>69</v>
      </c>
      <c r="C64" s="4">
        <f>+D63+1</f>
        <v>45229</v>
      </c>
      <c r="D64" s="5">
        <f t="shared" si="3"/>
        <v>45235</v>
      </c>
      <c r="E64" s="9">
        <v>23881.5</v>
      </c>
      <c r="F64" s="9">
        <v>16.25</v>
      </c>
      <c r="G64" s="24">
        <v>1.5</v>
      </c>
      <c r="H64" s="7">
        <f t="shared" si="9"/>
        <v>18999.900000000001</v>
      </c>
      <c r="I64" s="16">
        <f t="shared" si="1"/>
        <v>4899.3499999999985</v>
      </c>
    </row>
    <row r="65" spans="1:9" x14ac:dyDescent="0.3">
      <c r="H65" s="55">
        <f>SUM(H5:H64)</f>
        <v>1111500.7034499999</v>
      </c>
      <c r="I65" s="55">
        <f>SUM(I5:I64)</f>
        <v>286613.34654999996</v>
      </c>
    </row>
    <row r="68" spans="1:9" ht="14.4" customHeight="1" x14ac:dyDescent="0.3">
      <c r="A68" s="48" t="s">
        <v>97</v>
      </c>
      <c r="B68" s="49"/>
      <c r="C68" s="49"/>
      <c r="D68" s="49"/>
      <c r="E68" s="49"/>
      <c r="F68" s="49"/>
    </row>
    <row r="69" spans="1:9" ht="43.2" x14ac:dyDescent="0.3">
      <c r="A69" s="31" t="s">
        <v>70</v>
      </c>
      <c r="B69" s="31" t="s">
        <v>71</v>
      </c>
      <c r="C69" s="31" t="s">
        <v>72</v>
      </c>
      <c r="D69" s="31" t="s">
        <v>73</v>
      </c>
      <c r="E69" s="31" t="s">
        <v>74</v>
      </c>
      <c r="F69" s="31" t="s">
        <v>75</v>
      </c>
    </row>
    <row r="70" spans="1:9" x14ac:dyDescent="0.3">
      <c r="A70" s="8">
        <v>2023</v>
      </c>
      <c r="B70" s="8" t="s">
        <v>79</v>
      </c>
      <c r="C70" s="8">
        <v>3332</v>
      </c>
      <c r="D70" s="25">
        <v>104011.75</v>
      </c>
      <c r="E70" s="10">
        <f t="shared" ref="E70:E74" si="10">ROUND(D70*0.8,2)</f>
        <v>83209.399999999994</v>
      </c>
      <c r="F70" s="7">
        <f t="shared" ref="F70:F73" si="11">+ROUND(D70*0.2,2)</f>
        <v>20802.349999999999</v>
      </c>
    </row>
    <row r="71" spans="1:9" x14ac:dyDescent="0.3">
      <c r="A71" s="8">
        <v>2023</v>
      </c>
      <c r="B71" s="8" t="s">
        <v>80</v>
      </c>
      <c r="C71" s="8">
        <v>2646</v>
      </c>
      <c r="D71" s="26">
        <v>83436</v>
      </c>
      <c r="E71" s="10">
        <f t="shared" si="10"/>
        <v>66748.800000000003</v>
      </c>
      <c r="F71" s="7">
        <f t="shared" si="11"/>
        <v>16687.2</v>
      </c>
    </row>
    <row r="72" spans="1:9" x14ac:dyDescent="0.3">
      <c r="A72" s="8">
        <v>2023</v>
      </c>
      <c r="B72" s="8" t="s">
        <v>81</v>
      </c>
      <c r="C72" s="8">
        <v>2578</v>
      </c>
      <c r="D72" s="25">
        <v>82313.5</v>
      </c>
      <c r="E72" s="10">
        <f t="shared" si="10"/>
        <v>65850.8</v>
      </c>
      <c r="F72" s="7">
        <f t="shared" si="11"/>
        <v>16462.7</v>
      </c>
    </row>
    <row r="73" spans="1:9" x14ac:dyDescent="0.3">
      <c r="A73" s="8">
        <v>2023</v>
      </c>
      <c r="B73" s="8" t="s">
        <v>82</v>
      </c>
      <c r="C73" s="8">
        <v>2440</v>
      </c>
      <c r="D73" s="25">
        <v>78307.25</v>
      </c>
      <c r="E73" s="10">
        <f t="shared" si="10"/>
        <v>62645.8</v>
      </c>
      <c r="F73" s="7">
        <f t="shared" si="11"/>
        <v>15661.45</v>
      </c>
    </row>
    <row r="74" spans="1:9" x14ac:dyDescent="0.3">
      <c r="A74" s="8">
        <v>2023</v>
      </c>
      <c r="B74" s="8" t="s">
        <v>83</v>
      </c>
      <c r="C74" s="8">
        <v>2405</v>
      </c>
      <c r="D74" s="25">
        <v>77368.73000000001</v>
      </c>
      <c r="E74" s="10">
        <f t="shared" si="10"/>
        <v>61894.98</v>
      </c>
      <c r="F74" s="7">
        <f>+ROUND(D74*0.2,2)</f>
        <v>15473.75</v>
      </c>
    </row>
    <row r="75" spans="1:9" x14ac:dyDescent="0.3">
      <c r="A75" s="8">
        <v>2023</v>
      </c>
      <c r="B75" s="8" t="s">
        <v>84</v>
      </c>
      <c r="C75" s="29">
        <v>3213</v>
      </c>
      <c r="D75" s="10">
        <v>103435</v>
      </c>
      <c r="E75" s="10">
        <f>ROUND(D75*0.8,2)</f>
        <v>82748</v>
      </c>
      <c r="F75" s="7">
        <f>+ROUND(D75*0.2,2)</f>
        <v>20687</v>
      </c>
      <c r="G75" s="15"/>
      <c r="H75" s="27"/>
      <c r="I75" s="28"/>
    </row>
    <row r="76" spans="1:9" x14ac:dyDescent="0.3">
      <c r="A76" s="8">
        <v>2023</v>
      </c>
      <c r="B76" s="8" t="s">
        <v>85</v>
      </c>
      <c r="C76" s="29">
        <v>2980</v>
      </c>
      <c r="D76" s="10">
        <v>95321.75</v>
      </c>
      <c r="E76" s="10">
        <f t="shared" ref="E76:E80" si="12">ROUND(D76*0.8,2)</f>
        <v>76257.399999999994</v>
      </c>
      <c r="F76" s="7">
        <f t="shared" ref="F76:F80" si="13">+ROUND(D76*0.2,2)</f>
        <v>19064.349999999999</v>
      </c>
    </row>
    <row r="77" spans="1:9" x14ac:dyDescent="0.3">
      <c r="A77" s="8">
        <v>2023</v>
      </c>
      <c r="B77" s="8" t="s">
        <v>86</v>
      </c>
      <c r="C77" s="29">
        <v>2964</v>
      </c>
      <c r="D77" s="10">
        <v>95145.75</v>
      </c>
      <c r="E77" s="10">
        <f t="shared" si="12"/>
        <v>76116.600000000006</v>
      </c>
      <c r="F77" s="7">
        <f t="shared" si="13"/>
        <v>19029.150000000001</v>
      </c>
    </row>
    <row r="78" spans="1:9" x14ac:dyDescent="0.3">
      <c r="A78" s="8">
        <v>2023</v>
      </c>
      <c r="B78" s="8" t="s">
        <v>76</v>
      </c>
      <c r="C78" s="29">
        <v>3052</v>
      </c>
      <c r="D78" s="10">
        <v>98700</v>
      </c>
      <c r="E78" s="10">
        <f t="shared" si="12"/>
        <v>78960</v>
      </c>
      <c r="F78" s="7">
        <f t="shared" si="13"/>
        <v>19740</v>
      </c>
    </row>
    <row r="79" spans="1:9" x14ac:dyDescent="0.3">
      <c r="A79" s="8">
        <v>2023</v>
      </c>
      <c r="B79" s="8" t="s">
        <v>77</v>
      </c>
      <c r="C79" s="29">
        <v>2870</v>
      </c>
      <c r="D79" s="10">
        <v>92526</v>
      </c>
      <c r="E79" s="10">
        <f t="shared" si="12"/>
        <v>74020.800000000003</v>
      </c>
      <c r="F79" s="7">
        <f t="shared" si="13"/>
        <v>18505.2</v>
      </c>
    </row>
    <row r="80" spans="1:9" x14ac:dyDescent="0.3">
      <c r="A80" s="8">
        <v>2023</v>
      </c>
      <c r="B80" s="8" t="s">
        <v>78</v>
      </c>
      <c r="C80" s="29">
        <v>2940</v>
      </c>
      <c r="D80" s="10">
        <v>94558.25</v>
      </c>
      <c r="E80" s="10">
        <f t="shared" si="12"/>
        <v>75646.600000000006</v>
      </c>
      <c r="F80" s="7">
        <f t="shared" si="13"/>
        <v>18911.650000000001</v>
      </c>
    </row>
    <row r="81" spans="5:6" x14ac:dyDescent="0.3">
      <c r="E81" s="56">
        <f>SUM(E70:E80)</f>
        <v>804099.17999999993</v>
      </c>
      <c r="F81" s="56">
        <f>SUM(F70:F80)</f>
        <v>201024.8</v>
      </c>
    </row>
  </sheetData>
  <mergeCells count="3">
    <mergeCell ref="A68:F68"/>
    <mergeCell ref="A1:I1"/>
    <mergeCell ref="J1:J2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8CBC7-DF31-445D-8D66-CADFA5E1CB7E}">
  <dimension ref="A1:I74"/>
  <sheetViews>
    <sheetView topLeftCell="A50" workbookViewId="0">
      <selection activeCell="A60" sqref="A60:F74"/>
    </sheetView>
  </sheetViews>
  <sheetFormatPr baseColWidth="10" defaultRowHeight="14.4" x14ac:dyDescent="0.3"/>
  <cols>
    <col min="4" max="4" width="14.88671875" bestFit="1" customWidth="1"/>
    <col min="5" max="5" width="13.44140625" bestFit="1" customWidth="1"/>
    <col min="6" max="6" width="14.77734375" bestFit="1" customWidth="1"/>
    <col min="7" max="7" width="14" bestFit="1" customWidth="1"/>
    <col min="8" max="8" width="0.109375" customWidth="1"/>
    <col min="9" max="9" width="14" hidden="1" customWidth="1"/>
  </cols>
  <sheetData>
    <row r="1" spans="1:9" ht="38.4" customHeight="1" x14ac:dyDescent="0.3">
      <c r="A1" s="57" t="s">
        <v>151</v>
      </c>
      <c r="B1" s="51"/>
      <c r="C1" s="51"/>
      <c r="D1" s="51"/>
      <c r="E1" s="51"/>
      <c r="F1" s="51"/>
      <c r="G1" s="51"/>
      <c r="H1" s="51"/>
      <c r="I1" s="52"/>
    </row>
    <row r="2" spans="1:9" x14ac:dyDescent="0.3">
      <c r="A2" s="60" t="s">
        <v>87</v>
      </c>
      <c r="B2" s="61" t="s">
        <v>88</v>
      </c>
      <c r="C2" s="62" t="s">
        <v>89</v>
      </c>
      <c r="D2" s="63" t="s">
        <v>90</v>
      </c>
      <c r="E2" s="61" t="s">
        <v>91</v>
      </c>
      <c r="F2" s="61" t="s">
        <v>94</v>
      </c>
      <c r="G2" s="61" t="s">
        <v>95</v>
      </c>
      <c r="H2" s="64"/>
      <c r="I2" s="64"/>
    </row>
    <row r="3" spans="1:9" ht="43.2" x14ac:dyDescent="0.3">
      <c r="A3" s="65" t="s">
        <v>1</v>
      </c>
      <c r="B3" s="66" t="s">
        <v>2</v>
      </c>
      <c r="C3" s="67" t="s">
        <v>3</v>
      </c>
      <c r="D3" s="67" t="s">
        <v>3</v>
      </c>
      <c r="E3" s="66" t="s">
        <v>4</v>
      </c>
      <c r="F3" s="66" t="s">
        <v>7</v>
      </c>
      <c r="G3" s="66" t="s">
        <v>96</v>
      </c>
      <c r="H3" s="64"/>
      <c r="I3" s="64"/>
    </row>
    <row r="4" spans="1:9" x14ac:dyDescent="0.3">
      <c r="A4" s="63"/>
      <c r="B4" s="68"/>
      <c r="C4" s="69" t="s">
        <v>8</v>
      </c>
      <c r="D4" s="70" t="s">
        <v>9</v>
      </c>
      <c r="E4" s="71"/>
      <c r="F4" s="71"/>
      <c r="G4" s="71"/>
      <c r="H4" s="64"/>
      <c r="I4" s="64"/>
    </row>
    <row r="5" spans="1:9" x14ac:dyDescent="0.3">
      <c r="A5" s="72">
        <v>1</v>
      </c>
      <c r="B5" s="73" t="s">
        <v>67</v>
      </c>
      <c r="C5" s="74">
        <v>45292</v>
      </c>
      <c r="D5" s="75">
        <f>+C5+6</f>
        <v>45298</v>
      </c>
      <c r="E5" s="17">
        <v>23248.25</v>
      </c>
      <c r="F5" s="7">
        <f>Tabla24[[#This Row],[Columna5]]*79.5/100</f>
        <v>18482.358749999999</v>
      </c>
      <c r="G5" s="76">
        <f>Tabla24[[#This Row],[Columna5]]-Tabla24[[#This Row],[Columna8]]</f>
        <v>4765.8912500000006</v>
      </c>
      <c r="H5" s="64"/>
      <c r="I5" s="64"/>
    </row>
    <row r="6" spans="1:9" x14ac:dyDescent="0.3">
      <c r="A6" s="72">
        <v>2</v>
      </c>
      <c r="B6" s="73" t="s">
        <v>68</v>
      </c>
      <c r="C6" s="74">
        <f>+D5+1</f>
        <v>45299</v>
      </c>
      <c r="D6" s="75">
        <f>+C6+6</f>
        <v>45305</v>
      </c>
      <c r="E6" s="17">
        <v>16153.26</v>
      </c>
      <c r="F6" s="7">
        <f>Tabla24[[#This Row],[Columna5]]*79.5/100</f>
        <v>12841.841699999999</v>
      </c>
      <c r="G6" s="76">
        <f>Tabla24[[#This Row],[Columna5]]-Tabla24[[#This Row],[Columna8]]</f>
        <v>3311.4183000000012</v>
      </c>
      <c r="H6" s="64"/>
      <c r="I6" s="64"/>
    </row>
    <row r="7" spans="1:9" x14ac:dyDescent="0.3">
      <c r="A7" s="72">
        <v>3</v>
      </c>
      <c r="B7" s="73" t="s">
        <v>69</v>
      </c>
      <c r="C7" s="74">
        <f>+D6+1</f>
        <v>45306</v>
      </c>
      <c r="D7" s="75">
        <f>+C7+6</f>
        <v>45312</v>
      </c>
      <c r="E7" s="17">
        <v>26111.86</v>
      </c>
      <c r="F7" s="7">
        <f>Tabla24[[#This Row],[Columna5]]*79.5/100</f>
        <v>20758.9287</v>
      </c>
      <c r="G7" s="76">
        <f>Tabla24[[#This Row],[Columna5]]-Tabla24[[#This Row],[Columna8]]</f>
        <v>5352.9313000000002</v>
      </c>
      <c r="H7" s="64"/>
      <c r="I7" s="64"/>
    </row>
    <row r="8" spans="1:9" x14ac:dyDescent="0.3">
      <c r="A8" s="72">
        <v>4</v>
      </c>
      <c r="B8" s="73" t="s">
        <v>98</v>
      </c>
      <c r="C8" s="74">
        <f>+D7+1</f>
        <v>45313</v>
      </c>
      <c r="D8" s="75">
        <f>+C8+6</f>
        <v>45319</v>
      </c>
      <c r="E8" s="17">
        <v>27843.64</v>
      </c>
      <c r="F8" s="7">
        <f>Tabla24[[#This Row],[Columna5]]*79.5/100</f>
        <v>22135.693799999997</v>
      </c>
      <c r="G8" s="76">
        <f>Tabla24[[#This Row],[Columna5]]-Tabla24[[#This Row],[Columna8]]</f>
        <v>5707.9462000000021</v>
      </c>
      <c r="H8" s="64"/>
      <c r="I8" s="64"/>
    </row>
    <row r="9" spans="1:9" x14ac:dyDescent="0.3">
      <c r="A9" s="72">
        <v>5</v>
      </c>
      <c r="B9" s="73" t="s">
        <v>99</v>
      </c>
      <c r="C9" s="74">
        <f>+D8+1</f>
        <v>45320</v>
      </c>
      <c r="D9" s="75">
        <f>+C9+6</f>
        <v>45326</v>
      </c>
      <c r="E9" s="9">
        <v>28167.29</v>
      </c>
      <c r="F9" s="7">
        <f>Tabla24[[#This Row],[Columna5]]*79.5/100</f>
        <v>22392.995550000003</v>
      </c>
      <c r="G9" s="76">
        <f>Tabla24[[#This Row],[Columna5]]-Tabla24[[#This Row],[Columna8]]</f>
        <v>5774.2944499999976</v>
      </c>
      <c r="H9" s="64"/>
      <c r="I9" s="64"/>
    </row>
    <row r="10" spans="1:9" x14ac:dyDescent="0.3">
      <c r="A10" s="72">
        <v>6</v>
      </c>
      <c r="B10" s="73" t="s">
        <v>100</v>
      </c>
      <c r="C10" s="74">
        <f t="shared" ref="C10:C31" si="0">+D9+1</f>
        <v>45327</v>
      </c>
      <c r="D10" s="75">
        <f t="shared" ref="D10:D57" si="1">+C10+6</f>
        <v>45333</v>
      </c>
      <c r="E10" s="9">
        <v>29208.73</v>
      </c>
      <c r="F10" s="7">
        <f>Tabla24[[#This Row],[Columna5]]*79.5/100</f>
        <v>23220.940350000001</v>
      </c>
      <c r="G10" s="76">
        <f>Tabla24[[#This Row],[Columna5]]-Tabla24[[#This Row],[Columna8]]</f>
        <v>5987.7896499999988</v>
      </c>
      <c r="H10" s="64"/>
      <c r="I10" s="64"/>
    </row>
    <row r="11" spans="1:9" x14ac:dyDescent="0.3">
      <c r="A11" s="72">
        <v>7</v>
      </c>
      <c r="B11" s="73" t="s">
        <v>101</v>
      </c>
      <c r="C11" s="74">
        <f t="shared" si="0"/>
        <v>45334</v>
      </c>
      <c r="D11" s="75">
        <f t="shared" si="1"/>
        <v>45340</v>
      </c>
      <c r="E11" s="9">
        <v>17712.099999999999</v>
      </c>
      <c r="F11" s="7">
        <f>Tabla24[[#This Row],[Columna5]]*79.5/100</f>
        <v>14081.119499999999</v>
      </c>
      <c r="G11" s="76">
        <f>Tabla24[[#This Row],[Columna5]]-Tabla24[[#This Row],[Columna8]]</f>
        <v>3630.9804999999997</v>
      </c>
      <c r="H11" s="64"/>
      <c r="I11" s="64"/>
    </row>
    <row r="12" spans="1:9" x14ac:dyDescent="0.3">
      <c r="A12" s="72">
        <v>8</v>
      </c>
      <c r="B12" s="73" t="s">
        <v>102</v>
      </c>
      <c r="C12" s="74">
        <f t="shared" si="0"/>
        <v>45341</v>
      </c>
      <c r="D12" s="75">
        <f t="shared" si="1"/>
        <v>45347</v>
      </c>
      <c r="E12" s="9">
        <v>27978.75</v>
      </c>
      <c r="F12" s="7">
        <f>Tabla24[[#This Row],[Columna5]]*79.5/100</f>
        <v>22243.106250000001</v>
      </c>
      <c r="G12" s="76">
        <f>Tabla24[[#This Row],[Columna5]]-Tabla24[[#This Row],[Columna8]]</f>
        <v>5735.6437499999993</v>
      </c>
      <c r="H12" s="64"/>
      <c r="I12" s="64"/>
    </row>
    <row r="13" spans="1:9" x14ac:dyDescent="0.3">
      <c r="A13" s="72">
        <v>9</v>
      </c>
      <c r="B13" s="73" t="s">
        <v>103</v>
      </c>
      <c r="C13" s="74">
        <f t="shared" si="0"/>
        <v>45348</v>
      </c>
      <c r="D13" s="75">
        <f t="shared" si="1"/>
        <v>45354</v>
      </c>
      <c r="E13" s="9">
        <v>28594.35</v>
      </c>
      <c r="F13" s="7">
        <f>Tabla24[[#This Row],[Columna5]]*79.5/100</f>
        <v>22732.508249999999</v>
      </c>
      <c r="G13" s="76">
        <f>Tabla24[[#This Row],[Columna5]]-Tabla24[[#This Row],[Columna8]]</f>
        <v>5861.8417499999996</v>
      </c>
      <c r="H13" s="64"/>
      <c r="I13" s="64"/>
    </row>
    <row r="14" spans="1:9" x14ac:dyDescent="0.3">
      <c r="A14" s="72">
        <v>10</v>
      </c>
      <c r="B14" s="73" t="s">
        <v>104</v>
      </c>
      <c r="C14" s="74">
        <f t="shared" si="0"/>
        <v>45355</v>
      </c>
      <c r="D14" s="75">
        <f t="shared" si="1"/>
        <v>45361</v>
      </c>
      <c r="E14" s="9">
        <v>30724.31</v>
      </c>
      <c r="F14" s="7">
        <f>Tabla24[[#This Row],[Columna5]]*79.5/100</f>
        <v>24425.82645</v>
      </c>
      <c r="G14" s="76">
        <f>Tabla24[[#This Row],[Columna5]]-Tabla24[[#This Row],[Columna8]]</f>
        <v>6298.4835500000008</v>
      </c>
      <c r="H14" s="64"/>
      <c r="I14" s="64"/>
    </row>
    <row r="15" spans="1:9" x14ac:dyDescent="0.3">
      <c r="A15" s="72">
        <v>11</v>
      </c>
      <c r="B15" s="73" t="s">
        <v>105</v>
      </c>
      <c r="C15" s="74">
        <f t="shared" si="0"/>
        <v>45362</v>
      </c>
      <c r="D15" s="75">
        <f t="shared" si="1"/>
        <v>45368</v>
      </c>
      <c r="E15" s="9">
        <v>31080.880000000001</v>
      </c>
      <c r="F15" s="7">
        <f>Tabla24[[#This Row],[Columna5]]*79.5/100</f>
        <v>24709.299599999998</v>
      </c>
      <c r="G15" s="76">
        <f>Tabla24[[#This Row],[Columna5]]-Tabla24[[#This Row],[Columna8]]</f>
        <v>6371.5804000000026</v>
      </c>
      <c r="H15" s="64"/>
      <c r="I15" s="64"/>
    </row>
    <row r="16" spans="1:9" x14ac:dyDescent="0.3">
      <c r="A16" s="72">
        <v>12</v>
      </c>
      <c r="B16" s="73" t="s">
        <v>106</v>
      </c>
      <c r="C16" s="74">
        <f t="shared" si="0"/>
        <v>45369</v>
      </c>
      <c r="D16" s="75">
        <f t="shared" si="1"/>
        <v>45375</v>
      </c>
      <c r="E16" s="9">
        <v>30951.37</v>
      </c>
      <c r="F16" s="7">
        <f>Tabla24[[#This Row],[Columna5]]*79.5/100</f>
        <v>24606.33915</v>
      </c>
      <c r="G16" s="76">
        <f>Tabla24[[#This Row],[Columna5]]-Tabla24[[#This Row],[Columna8]]</f>
        <v>6345.0308499999992</v>
      </c>
      <c r="H16" s="64"/>
      <c r="I16" s="64"/>
    </row>
    <row r="17" spans="1:9" x14ac:dyDescent="0.3">
      <c r="A17" s="72">
        <v>13</v>
      </c>
      <c r="B17" s="73" t="s">
        <v>107</v>
      </c>
      <c r="C17" s="74">
        <f t="shared" si="0"/>
        <v>45376</v>
      </c>
      <c r="D17" s="75">
        <f t="shared" si="1"/>
        <v>45382</v>
      </c>
      <c r="E17" s="9">
        <v>24301.94</v>
      </c>
      <c r="F17" s="7">
        <f>Tabla24[[#This Row],[Columna5]]*79.5/100</f>
        <v>19320.042300000001</v>
      </c>
      <c r="G17" s="76">
        <f>Tabla24[[#This Row],[Columna5]]-Tabla24[[#This Row],[Columna8]]</f>
        <v>4981.8976999999977</v>
      </c>
      <c r="H17" s="64"/>
      <c r="I17" s="64"/>
    </row>
    <row r="18" spans="1:9" x14ac:dyDescent="0.3">
      <c r="A18" s="72">
        <v>14</v>
      </c>
      <c r="B18" s="73" t="s">
        <v>108</v>
      </c>
      <c r="C18" s="74">
        <f t="shared" si="0"/>
        <v>45383</v>
      </c>
      <c r="D18" s="75">
        <f t="shared" si="1"/>
        <v>45389</v>
      </c>
      <c r="E18" s="9">
        <v>30772.22</v>
      </c>
      <c r="F18" s="7">
        <f>Tabla24[[#This Row],[Columna5]]*79.5/100</f>
        <v>24463.914900000003</v>
      </c>
      <c r="G18" s="76">
        <f>Tabla24[[#This Row],[Columna5]]-Tabla24[[#This Row],[Columna8]]</f>
        <v>6308.3050999999978</v>
      </c>
      <c r="H18" s="64"/>
      <c r="I18" s="64"/>
    </row>
    <row r="19" spans="1:9" x14ac:dyDescent="0.3">
      <c r="A19" s="72">
        <v>15</v>
      </c>
      <c r="B19" s="73" t="s">
        <v>109</v>
      </c>
      <c r="C19" s="74">
        <f t="shared" si="0"/>
        <v>45390</v>
      </c>
      <c r="D19" s="75">
        <f t="shared" si="1"/>
        <v>45396</v>
      </c>
      <c r="E19" s="9">
        <v>29834.15</v>
      </c>
      <c r="F19" s="7">
        <f>Tabla24[[#This Row],[Columna5]]*79.5/100</f>
        <v>23718.149250000002</v>
      </c>
      <c r="G19" s="76">
        <f>Tabla24[[#This Row],[Columna5]]-Tabla24[[#This Row],[Columna8]]</f>
        <v>6116.0007499999992</v>
      </c>
      <c r="H19" s="64"/>
      <c r="I19" s="64"/>
    </row>
    <row r="20" spans="1:9" x14ac:dyDescent="0.3">
      <c r="A20" s="72">
        <v>16</v>
      </c>
      <c r="B20" s="73" t="s">
        <v>110</v>
      </c>
      <c r="C20" s="74">
        <f t="shared" si="0"/>
        <v>45397</v>
      </c>
      <c r="D20" s="75">
        <f t="shared" si="1"/>
        <v>45403</v>
      </c>
      <c r="E20" s="9">
        <v>28490.94</v>
      </c>
      <c r="F20" s="7">
        <f>Tabla24[[#This Row],[Columna5]]*79.5/100</f>
        <v>22650.297299999998</v>
      </c>
      <c r="G20" s="76">
        <f>Tabla24[[#This Row],[Columna5]]-Tabla24[[#This Row],[Columna8]]</f>
        <v>5840.6427000000003</v>
      </c>
      <c r="H20" s="64"/>
      <c r="I20" s="64"/>
    </row>
    <row r="21" spans="1:9" x14ac:dyDescent="0.3">
      <c r="A21" s="72">
        <v>17</v>
      </c>
      <c r="B21" s="73" t="s">
        <v>111</v>
      </c>
      <c r="C21" s="74">
        <f t="shared" si="0"/>
        <v>45404</v>
      </c>
      <c r="D21" s="75">
        <f t="shared" si="1"/>
        <v>45410</v>
      </c>
      <c r="E21" s="9">
        <v>28953.35</v>
      </c>
      <c r="F21" s="7">
        <f>Tabla24[[#This Row],[Columna5]]*79.5/100</f>
        <v>23017.913249999998</v>
      </c>
      <c r="G21" s="76">
        <f>Tabla24[[#This Row],[Columna5]]-Tabla24[[#This Row],[Columna8]]</f>
        <v>5935.4367500000008</v>
      </c>
      <c r="H21" s="64"/>
      <c r="I21" s="64"/>
    </row>
    <row r="22" spans="1:9" x14ac:dyDescent="0.3">
      <c r="A22" s="72">
        <v>18</v>
      </c>
      <c r="B22" s="73" t="s">
        <v>112</v>
      </c>
      <c r="C22" s="74">
        <f t="shared" si="0"/>
        <v>45411</v>
      </c>
      <c r="D22" s="75">
        <f t="shared" si="1"/>
        <v>45417</v>
      </c>
      <c r="E22" s="9">
        <v>25393.85</v>
      </c>
      <c r="F22" s="7">
        <f>Tabla24[[#This Row],[Columna5]]*79.5/100</f>
        <v>20188.11075</v>
      </c>
      <c r="G22" s="76">
        <f>Tabla24[[#This Row],[Columna5]]-Tabla24[[#This Row],[Columna8]]</f>
        <v>5205.7392499999987</v>
      </c>
      <c r="H22" s="64"/>
      <c r="I22" s="64"/>
    </row>
    <row r="23" spans="1:9" x14ac:dyDescent="0.3">
      <c r="A23" s="72">
        <v>19</v>
      </c>
      <c r="B23" s="73" t="s">
        <v>113</v>
      </c>
      <c r="C23" s="74">
        <f t="shared" si="0"/>
        <v>45418</v>
      </c>
      <c r="D23" s="75">
        <f t="shared" si="1"/>
        <v>45424</v>
      </c>
      <c r="E23" s="9">
        <v>30714.74</v>
      </c>
      <c r="F23" s="7">
        <f>Tabla24[[#This Row],[Columna5]]*79.5/100</f>
        <v>24418.2183</v>
      </c>
      <c r="G23" s="76">
        <f>Tabla24[[#This Row],[Columna5]]-Tabla24[[#This Row],[Columna8]]</f>
        <v>6296.5217000000011</v>
      </c>
      <c r="H23" s="64"/>
      <c r="I23" s="64"/>
    </row>
    <row r="24" spans="1:9" x14ac:dyDescent="0.3">
      <c r="A24" s="72">
        <v>20</v>
      </c>
      <c r="B24" s="73" t="s">
        <v>114</v>
      </c>
      <c r="C24" s="74">
        <f t="shared" si="0"/>
        <v>45425</v>
      </c>
      <c r="D24" s="75">
        <f t="shared" si="1"/>
        <v>45431</v>
      </c>
      <c r="E24" s="9">
        <v>30875.72</v>
      </c>
      <c r="F24" s="7">
        <f>Tabla24[[#This Row],[Columna5]]*79.5/100</f>
        <v>24546.197400000001</v>
      </c>
      <c r="G24" s="76">
        <f>Tabla24[[#This Row],[Columna5]]-Tabla24[[#This Row],[Columna8]]</f>
        <v>6329.5226000000002</v>
      </c>
      <c r="H24" s="64"/>
      <c r="I24" s="64"/>
    </row>
    <row r="25" spans="1:9" x14ac:dyDescent="0.3">
      <c r="A25" s="72">
        <v>21</v>
      </c>
      <c r="B25" s="73" t="s">
        <v>115</v>
      </c>
      <c r="C25" s="74">
        <f t="shared" si="0"/>
        <v>45432</v>
      </c>
      <c r="D25" s="75">
        <f t="shared" si="1"/>
        <v>45438</v>
      </c>
      <c r="E25" s="9">
        <v>27040.19</v>
      </c>
      <c r="F25" s="7">
        <f>Tabla24[[#This Row],[Columna5]]*79.5/100</f>
        <v>21496.95105</v>
      </c>
      <c r="G25" s="76">
        <f>Tabla24[[#This Row],[Columna5]]-Tabla24[[#This Row],[Columna8]]</f>
        <v>5543.238949999999</v>
      </c>
      <c r="H25" s="64"/>
      <c r="I25" s="64"/>
    </row>
    <row r="26" spans="1:9" x14ac:dyDescent="0.3">
      <c r="A26" s="72">
        <v>22</v>
      </c>
      <c r="B26" s="73" t="s">
        <v>116</v>
      </c>
      <c r="C26" s="74">
        <f t="shared" si="0"/>
        <v>45439</v>
      </c>
      <c r="D26" s="75">
        <f t="shared" si="1"/>
        <v>45445</v>
      </c>
      <c r="E26" s="9">
        <v>36684.620000000003</v>
      </c>
      <c r="F26" s="7">
        <f>Tabla24[[#This Row],[Columna5]]*79.5/100</f>
        <v>29164.2729</v>
      </c>
      <c r="G26" s="76">
        <f>Tabla24[[#This Row],[Columna5]]-Tabla24[[#This Row],[Columna8]]</f>
        <v>7520.3471000000027</v>
      </c>
      <c r="H26" s="64"/>
      <c r="I26" s="64"/>
    </row>
    <row r="27" spans="1:9" x14ac:dyDescent="0.3">
      <c r="A27" s="72">
        <v>23</v>
      </c>
      <c r="B27" s="73" t="s">
        <v>117</v>
      </c>
      <c r="C27" s="74">
        <f t="shared" si="0"/>
        <v>45446</v>
      </c>
      <c r="D27" s="75">
        <f t="shared" si="1"/>
        <v>45452</v>
      </c>
      <c r="E27" s="9">
        <v>36609.26</v>
      </c>
      <c r="F27" s="7">
        <f>Tabla24[[#This Row],[Columna5]]*79.5/100</f>
        <v>29104.361700000005</v>
      </c>
      <c r="G27" s="76">
        <f>Tabla24[[#This Row],[Columna5]]-Tabla24[[#This Row],[Columna8]]</f>
        <v>7504.8982999999971</v>
      </c>
      <c r="H27" s="64"/>
      <c r="I27" s="64"/>
    </row>
    <row r="28" spans="1:9" x14ac:dyDescent="0.3">
      <c r="A28" s="72">
        <v>24</v>
      </c>
      <c r="B28" s="73" t="s">
        <v>118</v>
      </c>
      <c r="C28" s="74">
        <f t="shared" si="0"/>
        <v>45453</v>
      </c>
      <c r="D28" s="75">
        <f t="shared" si="1"/>
        <v>45459</v>
      </c>
      <c r="E28" s="9">
        <v>36321.93</v>
      </c>
      <c r="F28" s="7">
        <f>Tabla24[[#This Row],[Columna5]]*79.5/100</f>
        <v>28875.93435</v>
      </c>
      <c r="G28" s="76">
        <f>Tabla24[[#This Row],[Columna5]]-Tabla24[[#This Row],[Columna8]]</f>
        <v>7445.9956500000008</v>
      </c>
      <c r="H28" s="64"/>
      <c r="I28" s="64"/>
    </row>
    <row r="29" spans="1:9" x14ac:dyDescent="0.3">
      <c r="A29" s="72">
        <v>25</v>
      </c>
      <c r="B29" s="73" t="s">
        <v>119</v>
      </c>
      <c r="C29" s="74">
        <f t="shared" si="0"/>
        <v>45460</v>
      </c>
      <c r="D29" s="75">
        <f t="shared" si="1"/>
        <v>45466</v>
      </c>
      <c r="E29" s="9">
        <v>34584.019999999997</v>
      </c>
      <c r="F29" s="7">
        <f>Tabla24[[#This Row],[Columna5]]*79.5/100</f>
        <v>27494.295899999997</v>
      </c>
      <c r="G29" s="76">
        <f>Tabla24[[#This Row],[Columna5]]-Tabla24[[#This Row],[Columna8]]</f>
        <v>7089.7240999999995</v>
      </c>
      <c r="H29" s="64"/>
      <c r="I29" s="64"/>
    </row>
    <row r="30" spans="1:9" x14ac:dyDescent="0.3">
      <c r="A30" s="72">
        <v>26</v>
      </c>
      <c r="B30" s="73" t="s">
        <v>120</v>
      </c>
      <c r="C30" s="74">
        <f t="shared" si="0"/>
        <v>45467</v>
      </c>
      <c r="D30" s="75">
        <f t="shared" si="1"/>
        <v>45473</v>
      </c>
      <c r="E30" s="41">
        <v>33915.519999999997</v>
      </c>
      <c r="F30" s="7">
        <f>Tabla24[[#This Row],[Columna5]]*79.5/100</f>
        <v>26962.838399999997</v>
      </c>
      <c r="G30" s="76">
        <f>Tabla24[[#This Row],[Columna5]]-Tabla24[[#This Row],[Columna8]]</f>
        <v>6952.6815999999999</v>
      </c>
      <c r="H30" s="64"/>
      <c r="I30" s="64"/>
    </row>
    <row r="31" spans="1:9" x14ac:dyDescent="0.3">
      <c r="A31" s="72">
        <v>27</v>
      </c>
      <c r="B31" s="73" t="s">
        <v>121</v>
      </c>
      <c r="C31" s="74">
        <f t="shared" si="0"/>
        <v>45474</v>
      </c>
      <c r="D31" s="75">
        <f t="shared" si="1"/>
        <v>45480</v>
      </c>
      <c r="E31" s="11">
        <v>34892.980000000003</v>
      </c>
      <c r="F31" s="7">
        <f>Tabla24[[#This Row],[Columna5]]*79.5/100</f>
        <v>27739.919100000003</v>
      </c>
      <c r="G31" s="76">
        <f>Tabla24[[#This Row],[Columna5]]-Tabla24[[#This Row],[Columna8]]</f>
        <v>7153.0609000000004</v>
      </c>
      <c r="H31" s="64"/>
      <c r="I31" s="64"/>
    </row>
    <row r="32" spans="1:9" x14ac:dyDescent="0.3">
      <c r="A32" s="72">
        <v>28</v>
      </c>
      <c r="B32" s="73" t="s">
        <v>122</v>
      </c>
      <c r="C32" s="74">
        <v>45481</v>
      </c>
      <c r="D32" s="75">
        <f t="shared" si="1"/>
        <v>45487</v>
      </c>
      <c r="E32" s="9">
        <v>32895.949999999997</v>
      </c>
      <c r="F32" s="7">
        <f>Tabla24[[#This Row],[Columna5]]*79.5/100</f>
        <v>26152.28025</v>
      </c>
      <c r="G32" s="76">
        <f>Tabla24[[#This Row],[Columna5]]-Tabla24[[#This Row],[Columna8]]</f>
        <v>6743.6697499999973</v>
      </c>
      <c r="H32" s="64"/>
      <c r="I32" s="64"/>
    </row>
    <row r="33" spans="1:9" x14ac:dyDescent="0.3">
      <c r="A33" s="72">
        <v>29</v>
      </c>
      <c r="B33" s="73" t="s">
        <v>123</v>
      </c>
      <c r="C33" s="74">
        <f t="shared" ref="C33:C53" si="2">+D32+1</f>
        <v>45488</v>
      </c>
      <c r="D33" s="75">
        <f t="shared" si="1"/>
        <v>45494</v>
      </c>
      <c r="E33" s="9">
        <v>34667.07</v>
      </c>
      <c r="F33" s="7">
        <f>Tabla24[[#This Row],[Columna5]]*79.5/100</f>
        <v>27560.320649999998</v>
      </c>
      <c r="G33" s="76">
        <f>Tabla24[[#This Row],[Columna5]]-Tabla24[[#This Row],[Columna8]]</f>
        <v>7106.7493500000019</v>
      </c>
      <c r="H33" s="64"/>
      <c r="I33" s="64"/>
    </row>
    <row r="34" spans="1:9" x14ac:dyDescent="0.3">
      <c r="A34" s="72">
        <v>30</v>
      </c>
      <c r="B34" s="73" t="s">
        <v>124</v>
      </c>
      <c r="C34" s="74">
        <f>+D33+1</f>
        <v>45495</v>
      </c>
      <c r="D34" s="75">
        <f t="shared" si="1"/>
        <v>45501</v>
      </c>
      <c r="E34" s="9">
        <v>26051.119999999999</v>
      </c>
      <c r="F34" s="7">
        <f>Tabla24[[#This Row],[Columna5]]*79.5/100</f>
        <v>20710.640399999997</v>
      </c>
      <c r="G34" s="76">
        <f>Tabla24[[#This Row],[Columna5]]-Tabla24[[#This Row],[Columna8]]</f>
        <v>5340.4796000000024</v>
      </c>
      <c r="H34" s="64"/>
      <c r="I34" s="64"/>
    </row>
    <row r="35" spans="1:9" x14ac:dyDescent="0.3">
      <c r="A35" s="72">
        <v>31</v>
      </c>
      <c r="B35" s="73" t="s">
        <v>125</v>
      </c>
      <c r="C35" s="74">
        <f t="shared" si="2"/>
        <v>45502</v>
      </c>
      <c r="D35" s="75">
        <f t="shared" si="1"/>
        <v>45508</v>
      </c>
      <c r="E35" s="9">
        <v>34730.47</v>
      </c>
      <c r="F35" s="7">
        <f>Tabla24[[#This Row],[Columna5]]*79.5/100</f>
        <v>27610.723650000004</v>
      </c>
      <c r="G35" s="76">
        <f>Tabla24[[#This Row],[Columna5]]-Tabla24[[#This Row],[Columna8]]</f>
        <v>7119.7463499999976</v>
      </c>
      <c r="H35" s="64"/>
      <c r="I35" s="64"/>
    </row>
    <row r="36" spans="1:9" x14ac:dyDescent="0.3">
      <c r="A36" s="72">
        <v>32</v>
      </c>
      <c r="B36" s="73" t="s">
        <v>126</v>
      </c>
      <c r="C36" s="74">
        <f t="shared" si="2"/>
        <v>45509</v>
      </c>
      <c r="D36" s="75">
        <f t="shared" si="1"/>
        <v>45515</v>
      </c>
      <c r="E36" s="9">
        <v>26277.1</v>
      </c>
      <c r="F36" s="7">
        <f>Tabla24[[#This Row],[Columna5]]*79.5/100</f>
        <v>20890.2945</v>
      </c>
      <c r="G36" s="76">
        <f>Tabla24[[#This Row],[Columna5]]-Tabla24[[#This Row],[Columna8]]</f>
        <v>5386.8054999999986</v>
      </c>
      <c r="H36" s="64"/>
      <c r="I36" s="64"/>
    </row>
    <row r="37" spans="1:9" x14ac:dyDescent="0.3">
      <c r="A37" s="72">
        <v>33</v>
      </c>
      <c r="B37" s="73" t="s">
        <v>127</v>
      </c>
      <c r="C37" s="74">
        <f t="shared" si="2"/>
        <v>45516</v>
      </c>
      <c r="D37" s="75">
        <f t="shared" si="1"/>
        <v>45522</v>
      </c>
      <c r="E37" s="9">
        <v>34465.730000000003</v>
      </c>
      <c r="F37" s="7">
        <f>Tabla24[[#This Row],[Columna5]]*79.5/100</f>
        <v>27400.255350000003</v>
      </c>
      <c r="G37" s="76">
        <f>Tabla24[[#This Row],[Columna5]]-Tabla24[[#This Row],[Columna8]]</f>
        <v>7065.4746500000001</v>
      </c>
      <c r="H37" s="64"/>
      <c r="I37" s="64"/>
    </row>
    <row r="38" spans="1:9" x14ac:dyDescent="0.3">
      <c r="A38" s="72">
        <v>34</v>
      </c>
      <c r="B38" s="73" t="s">
        <v>128</v>
      </c>
      <c r="C38" s="74">
        <f t="shared" si="2"/>
        <v>45523</v>
      </c>
      <c r="D38" s="75">
        <f t="shared" si="1"/>
        <v>45529</v>
      </c>
      <c r="E38" s="9">
        <v>33763.5</v>
      </c>
      <c r="F38" s="7">
        <f>Tabla24[[#This Row],[Columna5]]*79.5/100</f>
        <v>26841.982499999998</v>
      </c>
      <c r="G38" s="76">
        <f>Tabla24[[#This Row],[Columna5]]-Tabla24[[#This Row],[Columna8]]</f>
        <v>6921.5175000000017</v>
      </c>
      <c r="H38" s="64"/>
      <c r="I38" s="64"/>
    </row>
    <row r="39" spans="1:9" x14ac:dyDescent="0.3">
      <c r="A39" s="72">
        <v>35</v>
      </c>
      <c r="B39" s="73" t="s">
        <v>129</v>
      </c>
      <c r="C39" s="74">
        <f t="shared" si="2"/>
        <v>45530</v>
      </c>
      <c r="D39" s="75">
        <f t="shared" si="1"/>
        <v>45536</v>
      </c>
      <c r="E39" s="9">
        <v>32950.300000000003</v>
      </c>
      <c r="F39" s="7">
        <f>Tabla24[[#This Row],[Columna5]]*79.5/100</f>
        <v>26195.488499999999</v>
      </c>
      <c r="G39" s="76">
        <f>Tabla24[[#This Row],[Columna5]]-Tabla24[[#This Row],[Columna8]]</f>
        <v>6754.8115000000034</v>
      </c>
      <c r="H39" s="64"/>
      <c r="I39" s="64"/>
    </row>
    <row r="40" spans="1:9" x14ac:dyDescent="0.3">
      <c r="A40" s="72">
        <v>36</v>
      </c>
      <c r="B40" s="73" t="s">
        <v>130</v>
      </c>
      <c r="C40" s="74">
        <f t="shared" si="2"/>
        <v>45537</v>
      </c>
      <c r="D40" s="75">
        <f t="shared" si="1"/>
        <v>45543</v>
      </c>
      <c r="E40" s="9">
        <v>33180.33</v>
      </c>
      <c r="F40" s="7">
        <f>Tabla24[[#This Row],[Columna5]]*79.5/100</f>
        <v>26378.362350000003</v>
      </c>
      <c r="G40" s="76">
        <f>Tabla24[[#This Row],[Columna5]]-Tabla24[[#This Row],[Columna8]]</f>
        <v>6801.9676499999987</v>
      </c>
      <c r="H40" s="64"/>
      <c r="I40" s="64"/>
    </row>
    <row r="41" spans="1:9" x14ac:dyDescent="0.3">
      <c r="A41" s="72">
        <v>37</v>
      </c>
      <c r="B41" s="73" t="s">
        <v>131</v>
      </c>
      <c r="C41" s="74">
        <f t="shared" si="2"/>
        <v>45544</v>
      </c>
      <c r="D41" s="75">
        <f t="shared" si="1"/>
        <v>45550</v>
      </c>
      <c r="E41" s="9">
        <v>33811.89</v>
      </c>
      <c r="F41" s="7">
        <f>Tabla24[[#This Row],[Columna5]]*79.5/100</f>
        <v>26880.452549999998</v>
      </c>
      <c r="G41" s="76">
        <f>Tabla24[[#This Row],[Columna5]]-Tabla24[[#This Row],[Columna8]]</f>
        <v>6931.4374500000013</v>
      </c>
      <c r="H41" s="64"/>
      <c r="I41" s="64"/>
    </row>
    <row r="42" spans="1:9" x14ac:dyDescent="0.3">
      <c r="A42" s="72">
        <v>38</v>
      </c>
      <c r="B42" s="73" t="s">
        <v>132</v>
      </c>
      <c r="C42" s="74">
        <f t="shared" si="2"/>
        <v>45551</v>
      </c>
      <c r="D42" s="75">
        <f t="shared" si="1"/>
        <v>45557</v>
      </c>
      <c r="E42" s="9">
        <v>32323.03</v>
      </c>
      <c r="F42" s="7">
        <f>Tabla24[[#This Row],[Columna5]]*79.5/100</f>
        <v>25696.808849999998</v>
      </c>
      <c r="G42" s="76">
        <f>Tabla24[[#This Row],[Columna5]]-Tabla24[[#This Row],[Columna8]]</f>
        <v>6626.2211500000012</v>
      </c>
      <c r="H42" s="64"/>
      <c r="I42" s="64"/>
    </row>
    <row r="43" spans="1:9" x14ac:dyDescent="0.3">
      <c r="A43" s="72">
        <v>39</v>
      </c>
      <c r="B43" s="73" t="s">
        <v>133</v>
      </c>
      <c r="C43" s="74">
        <f t="shared" si="2"/>
        <v>45558</v>
      </c>
      <c r="D43" s="75">
        <f t="shared" si="1"/>
        <v>45564</v>
      </c>
      <c r="E43" s="9">
        <v>31786.41</v>
      </c>
      <c r="F43" s="7">
        <f>Tabla24[[#This Row],[Columna5]]*79.5/100</f>
        <v>25270.195950000001</v>
      </c>
      <c r="G43" s="76">
        <f>Tabla24[[#This Row],[Columna5]]-Tabla24[[#This Row],[Columna8]]</f>
        <v>6516.2140499999987</v>
      </c>
      <c r="H43" s="64"/>
      <c r="I43" s="64"/>
    </row>
    <row r="44" spans="1:9" x14ac:dyDescent="0.3">
      <c r="A44" s="72">
        <v>40</v>
      </c>
      <c r="B44" s="73" t="s">
        <v>134</v>
      </c>
      <c r="C44" s="74">
        <f t="shared" si="2"/>
        <v>45565</v>
      </c>
      <c r="D44" s="75">
        <f t="shared" si="1"/>
        <v>45571</v>
      </c>
      <c r="E44" s="9">
        <v>32978.19</v>
      </c>
      <c r="F44" s="7">
        <f>Tabla24[[#This Row],[Columna5]]*79.5/100</f>
        <v>26217.661049999999</v>
      </c>
      <c r="G44" s="76">
        <f>Tabla24[[#This Row],[Columna5]]-Tabla24[[#This Row],[Columna8]]</f>
        <v>6760.5289500000035</v>
      </c>
      <c r="H44" s="64"/>
      <c r="I44" s="64"/>
    </row>
    <row r="45" spans="1:9" x14ac:dyDescent="0.3">
      <c r="A45" s="72">
        <v>41</v>
      </c>
      <c r="B45" s="73" t="s">
        <v>135</v>
      </c>
      <c r="C45" s="74">
        <f t="shared" si="2"/>
        <v>45572</v>
      </c>
      <c r="D45" s="75">
        <f t="shared" si="1"/>
        <v>45578</v>
      </c>
      <c r="E45" s="9">
        <v>24812.22</v>
      </c>
      <c r="F45" s="7">
        <f>Tabla24[[#This Row],[Columna5]]*79.5/100</f>
        <v>19725.714899999999</v>
      </c>
      <c r="G45" s="76">
        <f>Tabla24[[#This Row],[Columna5]]-Tabla24[[#This Row],[Columna8]]</f>
        <v>5086.5051000000021</v>
      </c>
      <c r="H45" s="64"/>
      <c r="I45" s="64"/>
    </row>
    <row r="46" spans="1:9" x14ac:dyDescent="0.3">
      <c r="A46" s="72">
        <v>42</v>
      </c>
      <c r="B46" s="73" t="s">
        <v>136</v>
      </c>
      <c r="C46" s="74">
        <f t="shared" si="2"/>
        <v>45579</v>
      </c>
      <c r="D46" s="75">
        <f t="shared" si="1"/>
        <v>45585</v>
      </c>
      <c r="E46" s="9">
        <v>31357.91</v>
      </c>
      <c r="F46" s="7">
        <f>Tabla24[[#This Row],[Columna5]]*79.5/100</f>
        <v>24929.538450000004</v>
      </c>
      <c r="G46" s="76">
        <f>Tabla24[[#This Row],[Columna5]]-Tabla24[[#This Row],[Columna8]]</f>
        <v>6428.3715499999962</v>
      </c>
      <c r="H46" s="64"/>
      <c r="I46" s="64"/>
    </row>
    <row r="47" spans="1:9" x14ac:dyDescent="0.3">
      <c r="A47" s="72">
        <v>43</v>
      </c>
      <c r="B47" s="73" t="s">
        <v>137</v>
      </c>
      <c r="C47" s="74">
        <f t="shared" si="2"/>
        <v>45586</v>
      </c>
      <c r="D47" s="75">
        <f t="shared" si="1"/>
        <v>45592</v>
      </c>
      <c r="E47" s="9">
        <v>29539.16</v>
      </c>
      <c r="F47" s="7">
        <f>Tabla24[[#This Row],[Columna5]]*79.5/100</f>
        <v>23483.632200000004</v>
      </c>
      <c r="G47" s="76">
        <f>Tabla24[[#This Row],[Columna5]]-Tabla24[[#This Row],[Columna8]]</f>
        <v>6055.5277999999962</v>
      </c>
      <c r="H47" s="64"/>
      <c r="I47" s="64"/>
    </row>
    <row r="48" spans="1:9" x14ac:dyDescent="0.3">
      <c r="A48" s="72">
        <v>44</v>
      </c>
      <c r="B48" s="73" t="s">
        <v>138</v>
      </c>
      <c r="C48" s="74">
        <f t="shared" si="2"/>
        <v>45593</v>
      </c>
      <c r="D48" s="75">
        <f t="shared" si="1"/>
        <v>45599</v>
      </c>
      <c r="E48" s="9">
        <v>17353.68</v>
      </c>
      <c r="F48" s="7">
        <f>Tabla24[[#This Row],[Columna5]]*79.5/100</f>
        <v>13796.1756</v>
      </c>
      <c r="G48" s="76">
        <f>Tabla24[[#This Row],[Columna5]]-Tabla24[[#This Row],[Columna8]]</f>
        <v>3557.5043999999998</v>
      </c>
      <c r="H48" s="64"/>
      <c r="I48" s="64"/>
    </row>
    <row r="49" spans="1:9" x14ac:dyDescent="0.3">
      <c r="A49" s="72">
        <v>45</v>
      </c>
      <c r="B49" s="73" t="s">
        <v>139</v>
      </c>
      <c r="C49" s="74">
        <f t="shared" si="2"/>
        <v>45600</v>
      </c>
      <c r="D49" s="75">
        <f t="shared" si="1"/>
        <v>45606</v>
      </c>
      <c r="E49" s="9">
        <v>24522.63</v>
      </c>
      <c r="F49" s="7">
        <f>Tabla24[[#This Row],[Columna5]]*79.5/100</f>
        <v>19495.490850000002</v>
      </c>
      <c r="G49" s="76">
        <f>Tabla24[[#This Row],[Columna5]]-Tabla24[[#This Row],[Columna8]]</f>
        <v>5027.1391499999991</v>
      </c>
      <c r="H49" s="64"/>
      <c r="I49" s="64"/>
    </row>
    <row r="50" spans="1:9" x14ac:dyDescent="0.3">
      <c r="A50" s="72">
        <v>46</v>
      </c>
      <c r="B50" s="73" t="s">
        <v>140</v>
      </c>
      <c r="C50" s="74">
        <f t="shared" si="2"/>
        <v>45607</v>
      </c>
      <c r="D50" s="75">
        <f t="shared" si="1"/>
        <v>45613</v>
      </c>
      <c r="E50" s="9">
        <v>26387.7</v>
      </c>
      <c r="F50" s="7">
        <f>Tabla24[[#This Row],[Columna5]]*79.5/100</f>
        <v>20978.2215</v>
      </c>
      <c r="G50" s="76">
        <f>Tabla24[[#This Row],[Columna5]]-Tabla24[[#This Row],[Columna8]]</f>
        <v>5409.4785000000011</v>
      </c>
      <c r="H50" s="64"/>
      <c r="I50" s="64"/>
    </row>
    <row r="51" spans="1:9" x14ac:dyDescent="0.3">
      <c r="A51" s="72">
        <v>47</v>
      </c>
      <c r="B51" s="73" t="s">
        <v>141</v>
      </c>
      <c r="C51" s="74">
        <f t="shared" si="2"/>
        <v>45614</v>
      </c>
      <c r="D51" s="75">
        <f t="shared" si="1"/>
        <v>45620</v>
      </c>
      <c r="E51" s="9">
        <v>27958.880000000001</v>
      </c>
      <c r="F51" s="7">
        <f>Tabla24[[#This Row],[Columna5]]*79.5/100</f>
        <v>22227.309600000001</v>
      </c>
      <c r="G51" s="76">
        <f>Tabla24[[#This Row],[Columna5]]-Tabla24[[#This Row],[Columna8]]</f>
        <v>5731.5704000000005</v>
      </c>
      <c r="H51" s="64"/>
      <c r="I51" s="64"/>
    </row>
    <row r="52" spans="1:9" x14ac:dyDescent="0.3">
      <c r="A52" s="72">
        <v>48</v>
      </c>
      <c r="B52" s="73" t="s">
        <v>142</v>
      </c>
      <c r="C52" s="74">
        <f t="shared" si="2"/>
        <v>45621</v>
      </c>
      <c r="D52" s="75">
        <f t="shared" si="1"/>
        <v>45627</v>
      </c>
      <c r="E52" s="9">
        <v>8937.1299999999992</v>
      </c>
      <c r="F52" s="7">
        <f>Tabla24[[#This Row],[Columna5]]*79.5/100</f>
        <v>7105.0183499999994</v>
      </c>
      <c r="G52" s="76">
        <f>Tabla24[[#This Row],[Columna5]]-Tabla24[[#This Row],[Columna8]]</f>
        <v>1832.1116499999998</v>
      </c>
      <c r="H52" s="64"/>
      <c r="I52" s="64"/>
    </row>
    <row r="53" spans="1:9" x14ac:dyDescent="0.3">
      <c r="A53" s="72">
        <v>49</v>
      </c>
      <c r="B53" s="73" t="s">
        <v>143</v>
      </c>
      <c r="C53" s="74">
        <f t="shared" si="2"/>
        <v>45628</v>
      </c>
      <c r="D53" s="75">
        <f t="shared" si="1"/>
        <v>45634</v>
      </c>
      <c r="E53" s="9">
        <v>35064.26</v>
      </c>
      <c r="F53" s="7">
        <f>Tabla24[[#This Row],[Columna5]]*79.5/100</f>
        <v>27876.086700000003</v>
      </c>
      <c r="G53" s="76">
        <f>Tabla24[[#This Row],[Columna5]]-Tabla24[[#This Row],[Columna8]]</f>
        <v>7188.1732999999986</v>
      </c>
      <c r="H53" s="64"/>
      <c r="I53" s="64"/>
    </row>
    <row r="54" spans="1:9" x14ac:dyDescent="0.3">
      <c r="A54" s="72">
        <v>50</v>
      </c>
      <c r="B54" s="73" t="s">
        <v>144</v>
      </c>
      <c r="C54" s="74">
        <v>45635</v>
      </c>
      <c r="D54" s="75">
        <f t="shared" si="1"/>
        <v>45641</v>
      </c>
      <c r="E54" s="10">
        <v>34630.03</v>
      </c>
      <c r="F54" s="7">
        <f>Tabla24[[#This Row],[Columna5]]*79.5/100</f>
        <v>27530.873849999996</v>
      </c>
      <c r="G54" s="76">
        <f>Tabla24[[#This Row],[Columna5]]-Tabla24[[#This Row],[Columna8]]</f>
        <v>7099.1561500000025</v>
      </c>
      <c r="H54" s="64"/>
      <c r="I54" s="64"/>
    </row>
    <row r="55" spans="1:9" x14ac:dyDescent="0.3">
      <c r="A55" s="72">
        <v>51</v>
      </c>
      <c r="B55" s="73" t="s">
        <v>145</v>
      </c>
      <c r="C55" s="74">
        <f t="shared" ref="C55:C56" si="3">+D54+1</f>
        <v>45642</v>
      </c>
      <c r="D55" s="75">
        <f t="shared" si="1"/>
        <v>45648</v>
      </c>
      <c r="E55" s="10">
        <v>37193.019999999997</v>
      </c>
      <c r="F55" s="7">
        <f>Tabla24[[#This Row],[Columna5]]*79.5/100</f>
        <v>29568.4509</v>
      </c>
      <c r="G55" s="76">
        <f>Tabla24[[#This Row],[Columna5]]-Tabla24[[#This Row],[Columna8]]</f>
        <v>7624.569099999997</v>
      </c>
      <c r="H55" s="64"/>
      <c r="I55" s="64"/>
    </row>
    <row r="56" spans="1:9" x14ac:dyDescent="0.3">
      <c r="A56" s="77">
        <v>52</v>
      </c>
      <c r="B56" s="73" t="s">
        <v>146</v>
      </c>
      <c r="C56" s="78">
        <f t="shared" si="3"/>
        <v>45649</v>
      </c>
      <c r="D56" s="79">
        <f t="shared" si="1"/>
        <v>45655</v>
      </c>
      <c r="E56" s="12">
        <v>27263.5</v>
      </c>
      <c r="F56" s="7">
        <f>Tabla24[[#This Row],[Columna5]]*79.5/100</f>
        <v>21674.482499999998</v>
      </c>
      <c r="G56" s="76">
        <f>Tabla24[[#This Row],[Columna5]]-Tabla24[[#This Row],[Columna8]]</f>
        <v>5589.0175000000017</v>
      </c>
      <c r="H56" s="64"/>
      <c r="I56" s="64"/>
    </row>
    <row r="57" spans="1:9" x14ac:dyDescent="0.3">
      <c r="A57" s="72">
        <v>53</v>
      </c>
      <c r="B57" s="73" t="s">
        <v>147</v>
      </c>
      <c r="C57" s="74">
        <v>45656</v>
      </c>
      <c r="D57" s="75">
        <f t="shared" si="1"/>
        <v>45662</v>
      </c>
      <c r="E57" s="9">
        <v>11864.68</v>
      </c>
      <c r="F57" s="7">
        <f>Tabla24[[#This Row],[Columna5]]*79.5/100</f>
        <v>9432.4206000000013</v>
      </c>
      <c r="G57" s="76">
        <f>Tabla24[[#This Row],[Columna5]]-Tabla24[[#This Row],[Columna8]]</f>
        <v>2432.259399999999</v>
      </c>
      <c r="H57" s="64"/>
      <c r="I57" s="64"/>
    </row>
    <row r="58" spans="1:9" x14ac:dyDescent="0.3">
      <c r="A58" s="77"/>
      <c r="B58" s="80"/>
      <c r="C58" s="78"/>
      <c r="D58" s="79"/>
      <c r="E58" s="58"/>
      <c r="F58" s="59">
        <f t="shared" ref="F58:G58" si="4">SUBTOTAL(109,F3:F57)</f>
        <v>1227421.2574500004</v>
      </c>
      <c r="G58" s="76">
        <f t="shared" si="4"/>
        <v>316504.85255000001</v>
      </c>
      <c r="H58" s="64"/>
      <c r="I58" s="64"/>
    </row>
    <row r="60" spans="1:9" x14ac:dyDescent="0.3">
      <c r="A60" s="48" t="s">
        <v>148</v>
      </c>
      <c r="B60" s="49"/>
      <c r="C60" s="49"/>
      <c r="D60" s="49"/>
      <c r="E60" s="49"/>
      <c r="F60" s="49"/>
    </row>
    <row r="61" spans="1:9" ht="43.2" x14ac:dyDescent="0.3">
      <c r="A61" s="31" t="s">
        <v>70</v>
      </c>
      <c r="B61" s="31" t="s">
        <v>71</v>
      </c>
      <c r="C61" s="31" t="s">
        <v>72</v>
      </c>
      <c r="D61" s="31" t="s">
        <v>73</v>
      </c>
      <c r="E61" s="31" t="s">
        <v>74</v>
      </c>
      <c r="F61" s="31" t="s">
        <v>75</v>
      </c>
    </row>
    <row r="62" spans="1:9" x14ac:dyDescent="0.3">
      <c r="A62" s="8">
        <v>2024</v>
      </c>
      <c r="B62" s="8" t="s">
        <v>149</v>
      </c>
      <c r="C62" s="8">
        <v>2480</v>
      </c>
      <c r="D62" s="25">
        <v>80753</v>
      </c>
      <c r="E62" s="10">
        <f t="shared" ref="E62:E66" si="5">ROUND(D62*0.8,2)</f>
        <v>64602.400000000001</v>
      </c>
      <c r="F62" s="7">
        <f t="shared" ref="F62:F65" si="6">+ROUND(D62*0.2,2)</f>
        <v>16150.6</v>
      </c>
    </row>
    <row r="63" spans="1:9" x14ac:dyDescent="0.3">
      <c r="A63" s="8">
        <v>2024</v>
      </c>
      <c r="B63" s="8" t="s">
        <v>80</v>
      </c>
      <c r="C63" s="8">
        <v>2135</v>
      </c>
      <c r="D63" s="26">
        <v>69590.2</v>
      </c>
      <c r="E63" s="10">
        <f t="shared" si="5"/>
        <v>55672.160000000003</v>
      </c>
      <c r="F63" s="7">
        <f t="shared" si="6"/>
        <v>13918.04</v>
      </c>
    </row>
    <row r="64" spans="1:9" x14ac:dyDescent="0.3">
      <c r="A64" s="8">
        <v>2024</v>
      </c>
      <c r="B64" s="8" t="s">
        <v>81</v>
      </c>
      <c r="C64" s="8">
        <v>2399</v>
      </c>
      <c r="D64" s="25">
        <v>79124.350000000006</v>
      </c>
      <c r="E64" s="10">
        <f t="shared" si="5"/>
        <v>63299.48</v>
      </c>
      <c r="F64" s="7">
        <f t="shared" si="6"/>
        <v>15824.87</v>
      </c>
    </row>
    <row r="65" spans="1:6" x14ac:dyDescent="0.3">
      <c r="A65" s="8">
        <v>2024</v>
      </c>
      <c r="B65" s="8" t="s">
        <v>82</v>
      </c>
      <c r="C65" s="8">
        <v>3443</v>
      </c>
      <c r="D65" s="25">
        <v>113797.6</v>
      </c>
      <c r="E65" s="10">
        <f t="shared" si="5"/>
        <v>91038.080000000002</v>
      </c>
      <c r="F65" s="7">
        <f t="shared" si="6"/>
        <v>22759.52</v>
      </c>
    </row>
    <row r="66" spans="1:6" x14ac:dyDescent="0.3">
      <c r="A66" s="8">
        <v>2024</v>
      </c>
      <c r="B66" s="8" t="s">
        <v>83</v>
      </c>
      <c r="C66" s="8">
        <v>3760</v>
      </c>
      <c r="D66" s="25">
        <v>124897.5</v>
      </c>
      <c r="E66" s="10">
        <f t="shared" si="5"/>
        <v>99918</v>
      </c>
      <c r="F66" s="7">
        <f>+ROUND(D66*0.2,2)</f>
        <v>24979.5</v>
      </c>
    </row>
    <row r="67" spans="1:6" x14ac:dyDescent="0.3">
      <c r="A67" s="8">
        <v>2024</v>
      </c>
      <c r="B67" s="8" t="s">
        <v>84</v>
      </c>
      <c r="C67" s="81">
        <v>3836</v>
      </c>
      <c r="D67" s="10">
        <v>128252.05</v>
      </c>
      <c r="E67" s="10">
        <f>ROUND(D67*0.8,2)</f>
        <v>102601.64</v>
      </c>
      <c r="F67" s="7">
        <f>+ROUND(D67*0.2,2)</f>
        <v>25650.41</v>
      </c>
    </row>
    <row r="68" spans="1:6" x14ac:dyDescent="0.3">
      <c r="A68" s="8">
        <v>2024</v>
      </c>
      <c r="B68" s="8" t="s">
        <v>85</v>
      </c>
      <c r="C68" s="81">
        <v>4480</v>
      </c>
      <c r="D68" s="10">
        <v>148639.4</v>
      </c>
      <c r="E68" s="10">
        <f t="shared" ref="E68:E72" si="7">ROUND(D68*0.8,2)</f>
        <v>118911.52</v>
      </c>
      <c r="F68" s="7">
        <f t="shared" ref="F68:F72" si="8">+ROUND(D68*0.2,2)</f>
        <v>29727.88</v>
      </c>
    </row>
    <row r="69" spans="1:6" x14ac:dyDescent="0.3">
      <c r="A69" s="8">
        <v>2024</v>
      </c>
      <c r="B69" s="8" t="s">
        <v>86</v>
      </c>
      <c r="C69" s="81">
        <v>4438</v>
      </c>
      <c r="D69" s="10">
        <v>147190.85</v>
      </c>
      <c r="E69" s="10">
        <f t="shared" si="7"/>
        <v>117752.68</v>
      </c>
      <c r="F69" s="7">
        <f t="shared" si="8"/>
        <v>29438.17</v>
      </c>
    </row>
    <row r="70" spans="1:6" x14ac:dyDescent="0.3">
      <c r="A70" s="8">
        <v>2024</v>
      </c>
      <c r="B70" s="8" t="s">
        <v>76</v>
      </c>
      <c r="C70" s="81">
        <v>4211</v>
      </c>
      <c r="D70" s="10">
        <v>140010.5</v>
      </c>
      <c r="E70" s="10">
        <f t="shared" si="7"/>
        <v>112008.4</v>
      </c>
      <c r="F70" s="7">
        <f t="shared" si="8"/>
        <v>28002.1</v>
      </c>
    </row>
    <row r="71" spans="1:6" x14ac:dyDescent="0.3">
      <c r="A71" s="8">
        <v>2024</v>
      </c>
      <c r="B71" s="8" t="s">
        <v>77</v>
      </c>
      <c r="C71" s="81">
        <v>4032</v>
      </c>
      <c r="D71" s="10">
        <v>133797.54999999999</v>
      </c>
      <c r="E71" s="10">
        <f t="shared" si="7"/>
        <v>107038.04</v>
      </c>
      <c r="F71" s="7">
        <f t="shared" si="8"/>
        <v>26759.51</v>
      </c>
    </row>
    <row r="72" spans="1:6" x14ac:dyDescent="0.3">
      <c r="A72" s="8">
        <v>2024</v>
      </c>
      <c r="B72" s="8" t="s">
        <v>78</v>
      </c>
      <c r="C72" s="81">
        <v>4331</v>
      </c>
      <c r="D72" s="10">
        <v>143729.75</v>
      </c>
      <c r="E72" s="10">
        <f t="shared" si="7"/>
        <v>114983.8</v>
      </c>
      <c r="F72" s="7">
        <f t="shared" si="8"/>
        <v>28745.95</v>
      </c>
    </row>
    <row r="73" spans="1:6" x14ac:dyDescent="0.3">
      <c r="A73" s="8">
        <v>2024</v>
      </c>
      <c r="B73" s="8" t="s">
        <v>150</v>
      </c>
      <c r="C73" s="82">
        <v>4490</v>
      </c>
      <c r="D73" s="10">
        <v>149147.29999999999</v>
      </c>
      <c r="E73" s="10">
        <f t="shared" ref="E73" si="9">ROUND(D73*0.8,2)</f>
        <v>119317.84</v>
      </c>
      <c r="F73" s="7">
        <f t="shared" ref="F73" si="10">+ROUND(D73*0.2,2)</f>
        <v>29829.46</v>
      </c>
    </row>
    <row r="74" spans="1:6" x14ac:dyDescent="0.3">
      <c r="A74" s="8"/>
      <c r="B74" s="8"/>
      <c r="C74" s="29"/>
      <c r="D74" s="10"/>
      <c r="E74" s="56">
        <f>SUM(E62:E72)</f>
        <v>1047826.2000000001</v>
      </c>
      <c r="F74" s="56">
        <f>SUM(F62:F72)</f>
        <v>261956.55000000002</v>
      </c>
    </row>
  </sheetData>
  <mergeCells count="2">
    <mergeCell ref="A1:I1"/>
    <mergeCell ref="A60:F60"/>
  </mergeCells>
  <phoneticPr fontId="4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957E-BEBB-49A0-A0DB-14E947365623}">
  <dimension ref="A1:I75"/>
  <sheetViews>
    <sheetView topLeftCell="A55" workbookViewId="0">
      <selection activeCell="A61" sqref="A61:F75"/>
    </sheetView>
  </sheetViews>
  <sheetFormatPr baseColWidth="10" defaultRowHeight="14.4" x14ac:dyDescent="0.3"/>
  <cols>
    <col min="4" max="4" width="14.88671875" bestFit="1" customWidth="1"/>
    <col min="5" max="6" width="14.77734375" bestFit="1" customWidth="1"/>
    <col min="7" max="7" width="14" bestFit="1" customWidth="1"/>
    <col min="8" max="9" width="11.5546875" hidden="1" customWidth="1"/>
  </cols>
  <sheetData>
    <row r="1" spans="1:9" ht="34.200000000000003" customHeight="1" x14ac:dyDescent="0.3">
      <c r="A1" s="84" t="s">
        <v>212</v>
      </c>
      <c r="B1" s="85"/>
      <c r="C1" s="85"/>
      <c r="D1" s="85"/>
      <c r="E1" s="85"/>
      <c r="F1" s="85"/>
      <c r="G1" s="85"/>
      <c r="H1" s="85"/>
      <c r="I1" s="86"/>
    </row>
    <row r="2" spans="1:9" x14ac:dyDescent="0.3">
      <c r="A2" s="35" t="s">
        <v>87</v>
      </c>
      <c r="B2" s="36" t="s">
        <v>88</v>
      </c>
      <c r="C2" s="37" t="s">
        <v>89</v>
      </c>
      <c r="D2" s="38" t="s">
        <v>90</v>
      </c>
      <c r="E2" s="36" t="s">
        <v>91</v>
      </c>
      <c r="F2" s="36" t="s">
        <v>94</v>
      </c>
      <c r="G2" s="36" t="s">
        <v>95</v>
      </c>
    </row>
    <row r="3" spans="1:9" ht="43.2" x14ac:dyDescent="0.3">
      <c r="A3" s="65" t="s">
        <v>1</v>
      </c>
      <c r="B3" s="66" t="s">
        <v>2</v>
      </c>
      <c r="C3" s="67" t="s">
        <v>3</v>
      </c>
      <c r="D3" s="67" t="s">
        <v>3</v>
      </c>
      <c r="E3" s="66" t="s">
        <v>4</v>
      </c>
      <c r="F3" s="66" t="s">
        <v>7</v>
      </c>
      <c r="G3" s="66" t="s">
        <v>96</v>
      </c>
    </row>
    <row r="4" spans="1:9" x14ac:dyDescent="0.3">
      <c r="A4" s="63"/>
      <c r="B4" s="68"/>
      <c r="C4" s="69" t="s">
        <v>8</v>
      </c>
      <c r="D4" s="70" t="s">
        <v>9</v>
      </c>
      <c r="E4" s="71"/>
      <c r="F4" s="71"/>
      <c r="G4" s="71"/>
    </row>
    <row r="5" spans="1:9" x14ac:dyDescent="0.3">
      <c r="A5" s="72">
        <v>1</v>
      </c>
      <c r="B5" s="73" t="s">
        <v>153</v>
      </c>
      <c r="C5" s="74">
        <v>45663</v>
      </c>
      <c r="D5" s="75">
        <f>+C5+6</f>
        <v>45669</v>
      </c>
      <c r="E5" s="88">
        <v>27870.25</v>
      </c>
      <c r="F5" s="7">
        <f>Tabla247[[#This Row],[Columna5]]*79.5/100</f>
        <v>22156.848750000001</v>
      </c>
      <c r="G5" s="76">
        <f>Tabla247[[#This Row],[Columna5]]-Tabla247[[#This Row],[Columna8]]</f>
        <v>5713.401249999999</v>
      </c>
    </row>
    <row r="6" spans="1:9" x14ac:dyDescent="0.3">
      <c r="A6" s="72">
        <v>2</v>
      </c>
      <c r="B6" s="73" t="s">
        <v>154</v>
      </c>
      <c r="C6" s="74">
        <f>+D5+1</f>
        <v>45670</v>
      </c>
      <c r="D6" s="75">
        <f>+C6+6</f>
        <v>45676</v>
      </c>
      <c r="E6" s="17">
        <v>27615.599999999999</v>
      </c>
      <c r="F6" s="7">
        <f>Tabla247[[#This Row],[Columna5]]*79.5/100</f>
        <v>21954.401999999998</v>
      </c>
      <c r="G6" s="76">
        <f>Tabla247[[#This Row],[Columna5]]-Tabla247[[#This Row],[Columna8]]</f>
        <v>5661.1980000000003</v>
      </c>
    </row>
    <row r="7" spans="1:9" x14ac:dyDescent="0.3">
      <c r="A7" s="72">
        <v>3</v>
      </c>
      <c r="B7" s="73" t="s">
        <v>155</v>
      </c>
      <c r="C7" s="74">
        <f>+D6+1</f>
        <v>45677</v>
      </c>
      <c r="D7" s="75">
        <f>+C7+6</f>
        <v>45683</v>
      </c>
      <c r="E7" s="17">
        <v>28248.75</v>
      </c>
      <c r="F7" s="7">
        <f>Tabla247[[#This Row],[Columna5]]*79.5/100</f>
        <v>22457.756249999999</v>
      </c>
      <c r="G7" s="76">
        <f>Tabla247[[#This Row],[Columna5]]-Tabla247[[#This Row],[Columna8]]</f>
        <v>5790.9937500000015</v>
      </c>
    </row>
    <row r="8" spans="1:9" x14ac:dyDescent="0.3">
      <c r="A8" s="72">
        <v>4</v>
      </c>
      <c r="B8" s="73" t="s">
        <v>156</v>
      </c>
      <c r="C8" s="74">
        <f>+D7+1</f>
        <v>45684</v>
      </c>
      <c r="D8" s="75">
        <f>+C8+6</f>
        <v>45690</v>
      </c>
      <c r="E8" s="17">
        <v>29163.81</v>
      </c>
      <c r="F8" s="7">
        <f>Tabla247[[#This Row],[Columna5]]*79.5/100</f>
        <v>23185.228950000001</v>
      </c>
      <c r="G8" s="76">
        <f>Tabla247[[#This Row],[Columna5]]-Tabla247[[#This Row],[Columna8]]</f>
        <v>5978.5810500000007</v>
      </c>
    </row>
    <row r="9" spans="1:9" x14ac:dyDescent="0.3">
      <c r="A9" s="72">
        <v>5</v>
      </c>
      <c r="B9" s="73" t="s">
        <v>157</v>
      </c>
      <c r="C9" s="74">
        <f>+D8+1</f>
        <v>45691</v>
      </c>
      <c r="D9" s="75">
        <f>+C9+6</f>
        <v>45697</v>
      </c>
      <c r="E9" s="9">
        <v>29526.43</v>
      </c>
      <c r="F9" s="7">
        <f>Tabla247[[#This Row],[Columna5]]*79.5/100</f>
        <v>23473.511849999999</v>
      </c>
      <c r="G9" s="76">
        <f>Tabla247[[#This Row],[Columna5]]-Tabla247[[#This Row],[Columna8]]</f>
        <v>6052.9181500000013</v>
      </c>
    </row>
    <row r="10" spans="1:9" x14ac:dyDescent="0.3">
      <c r="A10" s="72">
        <v>6</v>
      </c>
      <c r="B10" s="73" t="s">
        <v>158</v>
      </c>
      <c r="C10" s="74">
        <f t="shared" ref="C10:C31" si="0">+D9+1</f>
        <v>45698</v>
      </c>
      <c r="D10" s="75">
        <f t="shared" ref="D10:D56" si="1">+C10+6</f>
        <v>45704</v>
      </c>
      <c r="E10" s="9">
        <v>29267.119999999999</v>
      </c>
      <c r="F10" s="7">
        <f>Tabla247[[#This Row],[Columna5]]*79.5/100</f>
        <v>23267.360400000001</v>
      </c>
      <c r="G10" s="76">
        <f>Tabla247[[#This Row],[Columna5]]-Tabla247[[#This Row],[Columna8]]</f>
        <v>5999.7595999999976</v>
      </c>
    </row>
    <row r="11" spans="1:9" x14ac:dyDescent="0.3">
      <c r="A11" s="72">
        <v>7</v>
      </c>
      <c r="B11" s="73" t="s">
        <v>159</v>
      </c>
      <c r="C11" s="74">
        <f t="shared" si="0"/>
        <v>45705</v>
      </c>
      <c r="D11" s="75">
        <f t="shared" si="1"/>
        <v>45711</v>
      </c>
      <c r="E11" s="9">
        <v>27352.43</v>
      </c>
      <c r="F11" s="7">
        <f>Tabla247[[#This Row],[Columna5]]*79.5/100</f>
        <v>21745.181850000001</v>
      </c>
      <c r="G11" s="76">
        <f>Tabla247[[#This Row],[Columna5]]-Tabla247[[#This Row],[Columna8]]</f>
        <v>5607.2481499999994</v>
      </c>
    </row>
    <row r="12" spans="1:9" x14ac:dyDescent="0.3">
      <c r="A12" s="72">
        <v>8</v>
      </c>
      <c r="B12" s="73" t="s">
        <v>160</v>
      </c>
      <c r="C12" s="74">
        <f t="shared" si="0"/>
        <v>45712</v>
      </c>
      <c r="D12" s="75">
        <f t="shared" si="1"/>
        <v>45718</v>
      </c>
      <c r="E12" s="9">
        <v>26591.33</v>
      </c>
      <c r="F12" s="7">
        <f>Tabla247[[#This Row],[Columna5]]*79.5/100</f>
        <v>21140.107350000002</v>
      </c>
      <c r="G12" s="76">
        <f>Tabla247[[#This Row],[Columna5]]-Tabla247[[#This Row],[Columna8]]</f>
        <v>5451.2226499999997</v>
      </c>
    </row>
    <row r="13" spans="1:9" x14ac:dyDescent="0.3">
      <c r="A13" s="72">
        <v>9</v>
      </c>
      <c r="B13" s="73" t="s">
        <v>161</v>
      </c>
      <c r="C13" s="74">
        <f t="shared" si="0"/>
        <v>45719</v>
      </c>
      <c r="D13" s="75">
        <f t="shared" si="1"/>
        <v>45725</v>
      </c>
      <c r="E13" s="9">
        <v>19630.52</v>
      </c>
      <c r="F13" s="7">
        <f>Tabla247[[#This Row],[Columna5]]*79.5/100</f>
        <v>15606.263400000002</v>
      </c>
      <c r="G13" s="76">
        <f>Tabla247[[#This Row],[Columna5]]-Tabla247[[#This Row],[Columna8]]</f>
        <v>4024.2565999999988</v>
      </c>
    </row>
    <row r="14" spans="1:9" x14ac:dyDescent="0.3">
      <c r="A14" s="72">
        <v>10</v>
      </c>
      <c r="B14" s="73" t="s">
        <v>162</v>
      </c>
      <c r="C14" s="74">
        <f t="shared" si="0"/>
        <v>45726</v>
      </c>
      <c r="D14" s="75">
        <f t="shared" si="1"/>
        <v>45732</v>
      </c>
      <c r="E14" s="9">
        <v>28486.29</v>
      </c>
      <c r="F14" s="7">
        <f>Tabla247[[#This Row],[Columna5]]*79.5/100</f>
        <v>22646.600550000003</v>
      </c>
      <c r="G14" s="76">
        <f>Tabla247[[#This Row],[Columna5]]-Tabla247[[#This Row],[Columna8]]</f>
        <v>5839.689449999998</v>
      </c>
    </row>
    <row r="15" spans="1:9" x14ac:dyDescent="0.3">
      <c r="A15" s="72">
        <v>11</v>
      </c>
      <c r="B15" s="73" t="s">
        <v>163</v>
      </c>
      <c r="C15" s="74">
        <f t="shared" si="0"/>
        <v>45733</v>
      </c>
      <c r="D15" s="75">
        <f t="shared" si="1"/>
        <v>45739</v>
      </c>
      <c r="E15" s="9">
        <v>28876.07</v>
      </c>
      <c r="F15" s="7">
        <f>Tabla247[[#This Row],[Columna5]]*79.5/100</f>
        <v>22956.47565</v>
      </c>
      <c r="G15" s="76">
        <f>Tabla247[[#This Row],[Columna5]]-Tabla247[[#This Row],[Columna8]]</f>
        <v>5919.5943499999994</v>
      </c>
    </row>
    <row r="16" spans="1:9" x14ac:dyDescent="0.3">
      <c r="A16" s="72">
        <v>12</v>
      </c>
      <c r="B16" s="73" t="s">
        <v>164</v>
      </c>
      <c r="C16" s="74">
        <f t="shared" si="0"/>
        <v>45740</v>
      </c>
      <c r="D16" s="75">
        <f t="shared" si="1"/>
        <v>45746</v>
      </c>
      <c r="E16" s="9">
        <v>28685.1</v>
      </c>
      <c r="F16" s="7">
        <f>Tabla247[[#This Row],[Columna5]]*79.5/100</f>
        <v>22804.654499999997</v>
      </c>
      <c r="G16" s="76">
        <f>Tabla247[[#This Row],[Columna5]]-Tabla247[[#This Row],[Columna8]]</f>
        <v>5880.4455000000016</v>
      </c>
    </row>
    <row r="17" spans="1:7" x14ac:dyDescent="0.3">
      <c r="A17" s="72">
        <v>13</v>
      </c>
      <c r="B17" s="73" t="s">
        <v>165</v>
      </c>
      <c r="C17" s="74">
        <f t="shared" si="0"/>
        <v>45747</v>
      </c>
      <c r="D17" s="75">
        <f t="shared" si="1"/>
        <v>45753</v>
      </c>
      <c r="E17" s="9">
        <v>27457.360000000001</v>
      </c>
      <c r="F17" s="7">
        <f>Tabla247[[#This Row],[Columna5]]*79.5/100</f>
        <v>21828.601200000001</v>
      </c>
      <c r="G17" s="76">
        <f>Tabla247[[#This Row],[Columna5]]-Tabla247[[#This Row],[Columna8]]</f>
        <v>5628.7587999999996</v>
      </c>
    </row>
    <row r="18" spans="1:7" x14ac:dyDescent="0.3">
      <c r="A18" s="72">
        <v>14</v>
      </c>
      <c r="B18" s="73" t="s">
        <v>166</v>
      </c>
      <c r="C18" s="74">
        <f t="shared" si="0"/>
        <v>45754</v>
      </c>
      <c r="D18" s="75">
        <f t="shared" si="1"/>
        <v>45760</v>
      </c>
      <c r="E18" s="9">
        <v>26164.799999999999</v>
      </c>
      <c r="F18" s="7">
        <f>Tabla247[[#This Row],[Columna5]]*79.5/100</f>
        <v>20801.016</v>
      </c>
      <c r="G18" s="76">
        <f>Tabla247[[#This Row],[Columna5]]-Tabla247[[#This Row],[Columna8]]</f>
        <v>5363.7839999999997</v>
      </c>
    </row>
    <row r="19" spans="1:7" x14ac:dyDescent="0.3">
      <c r="A19" s="72">
        <v>15</v>
      </c>
      <c r="B19" s="73" t="s">
        <v>167</v>
      </c>
      <c r="C19" s="74">
        <f t="shared" si="0"/>
        <v>45761</v>
      </c>
      <c r="D19" s="75">
        <f t="shared" si="1"/>
        <v>45767</v>
      </c>
      <c r="E19" s="9">
        <v>17541.79</v>
      </c>
      <c r="F19" s="7">
        <f>Tabla247[[#This Row],[Columna5]]*79.5/100</f>
        <v>13945.723050000002</v>
      </c>
      <c r="G19" s="76">
        <f>Tabla247[[#This Row],[Columna5]]-Tabla247[[#This Row],[Columna8]]</f>
        <v>3596.0669499999985</v>
      </c>
    </row>
    <row r="20" spans="1:7" x14ac:dyDescent="0.3">
      <c r="A20" s="72">
        <v>16</v>
      </c>
      <c r="B20" s="73" t="s">
        <v>168</v>
      </c>
      <c r="C20" s="74">
        <f t="shared" si="0"/>
        <v>45768</v>
      </c>
      <c r="D20" s="75">
        <f t="shared" si="1"/>
        <v>45774</v>
      </c>
      <c r="E20" s="9">
        <v>29270.21</v>
      </c>
      <c r="F20" s="7">
        <f>Tabla247[[#This Row],[Columna5]]*79.5/100</f>
        <v>23269.816949999997</v>
      </c>
      <c r="G20" s="76">
        <f>Tabla247[[#This Row],[Columna5]]-Tabla247[[#This Row],[Columna8]]</f>
        <v>6000.3930500000024</v>
      </c>
    </row>
    <row r="21" spans="1:7" x14ac:dyDescent="0.3">
      <c r="A21" s="72">
        <v>17</v>
      </c>
      <c r="B21" s="73" t="s">
        <v>169</v>
      </c>
      <c r="C21" s="74">
        <f t="shared" si="0"/>
        <v>45775</v>
      </c>
      <c r="D21" s="75">
        <f t="shared" si="1"/>
        <v>45781</v>
      </c>
      <c r="E21" s="9">
        <v>22973.200000000001</v>
      </c>
      <c r="F21" s="7">
        <f>Tabla247[[#This Row],[Columna5]]*79.5/100</f>
        <v>18263.694000000003</v>
      </c>
      <c r="G21" s="76">
        <f>Tabla247[[#This Row],[Columna5]]-Tabla247[[#This Row],[Columna8]]</f>
        <v>4709.5059999999976</v>
      </c>
    </row>
    <row r="22" spans="1:7" x14ac:dyDescent="0.3">
      <c r="A22" s="72">
        <v>18</v>
      </c>
      <c r="B22" s="73" t="s">
        <v>170</v>
      </c>
      <c r="C22" s="74">
        <f t="shared" si="0"/>
        <v>45782</v>
      </c>
      <c r="D22" s="75">
        <f t="shared" si="1"/>
        <v>45788</v>
      </c>
      <c r="E22" s="9">
        <v>28391.87</v>
      </c>
      <c r="F22" s="7">
        <f>Tabla247[[#This Row],[Columna5]]*79.5/100</f>
        <v>22571.536650000002</v>
      </c>
      <c r="G22" s="76">
        <f>Tabla247[[#This Row],[Columna5]]-Tabla247[[#This Row],[Columna8]]</f>
        <v>5820.3333499999972</v>
      </c>
    </row>
    <row r="23" spans="1:7" x14ac:dyDescent="0.3">
      <c r="A23" s="72">
        <v>19</v>
      </c>
      <c r="B23" s="73" t="s">
        <v>171</v>
      </c>
      <c r="C23" s="74">
        <f t="shared" si="0"/>
        <v>45789</v>
      </c>
      <c r="D23" s="75">
        <f t="shared" si="1"/>
        <v>45795</v>
      </c>
      <c r="E23" s="9">
        <v>26693.69</v>
      </c>
      <c r="F23" s="7">
        <f>Tabla247[[#This Row],[Columna5]]*79.5/100</f>
        <v>21221.483550000001</v>
      </c>
      <c r="G23" s="76">
        <f>Tabla247[[#This Row],[Columna5]]-Tabla247[[#This Row],[Columna8]]</f>
        <v>5472.2064499999979</v>
      </c>
    </row>
    <row r="24" spans="1:7" x14ac:dyDescent="0.3">
      <c r="A24" s="72">
        <v>20</v>
      </c>
      <c r="B24" s="73" t="s">
        <v>172</v>
      </c>
      <c r="C24" s="74">
        <f t="shared" si="0"/>
        <v>45796</v>
      </c>
      <c r="D24" s="75">
        <f t="shared" si="1"/>
        <v>45802</v>
      </c>
      <c r="E24" s="9">
        <v>20613.22</v>
      </c>
      <c r="F24" s="7">
        <f>Tabla247[[#This Row],[Columna5]]*79.5/100</f>
        <v>16387.509900000001</v>
      </c>
      <c r="G24" s="76">
        <f>Tabla247[[#This Row],[Columna5]]-Tabla247[[#This Row],[Columna8]]</f>
        <v>4225.7101000000002</v>
      </c>
    </row>
    <row r="25" spans="1:7" x14ac:dyDescent="0.3">
      <c r="A25" s="72">
        <v>21</v>
      </c>
      <c r="B25" s="73" t="s">
        <v>173</v>
      </c>
      <c r="C25" s="74">
        <f t="shared" si="0"/>
        <v>45803</v>
      </c>
      <c r="D25" s="75">
        <f t="shared" si="1"/>
        <v>45809</v>
      </c>
      <c r="E25" s="9">
        <v>27209.48</v>
      </c>
      <c r="F25" s="7">
        <f>Tabla247[[#This Row],[Columna5]]*79.5/100</f>
        <v>21631.536600000003</v>
      </c>
      <c r="G25" s="76">
        <f>Tabla247[[#This Row],[Columna5]]-Tabla247[[#This Row],[Columna8]]</f>
        <v>5577.9433999999965</v>
      </c>
    </row>
    <row r="26" spans="1:7" x14ac:dyDescent="0.3">
      <c r="A26" s="72">
        <v>22</v>
      </c>
      <c r="B26" s="73" t="s">
        <v>174</v>
      </c>
      <c r="C26" s="74">
        <f t="shared" si="0"/>
        <v>45810</v>
      </c>
      <c r="D26" s="75">
        <f t="shared" si="1"/>
        <v>45816</v>
      </c>
      <c r="E26" s="9">
        <v>27778.3</v>
      </c>
      <c r="F26" s="7">
        <f>Tabla247[[#This Row],[Columna5]]*79.5/100</f>
        <v>22083.748500000002</v>
      </c>
      <c r="G26" s="76">
        <f>Tabla247[[#This Row],[Columna5]]-Tabla247[[#This Row],[Columna8]]</f>
        <v>5694.5514999999978</v>
      </c>
    </row>
    <row r="27" spans="1:7" x14ac:dyDescent="0.3">
      <c r="A27" s="72">
        <v>23</v>
      </c>
      <c r="B27" s="73" t="s">
        <v>175</v>
      </c>
      <c r="C27" s="74">
        <f t="shared" si="0"/>
        <v>45817</v>
      </c>
      <c r="D27" s="75">
        <f t="shared" si="1"/>
        <v>45823</v>
      </c>
      <c r="E27" s="9">
        <v>27775.95</v>
      </c>
      <c r="F27" s="7">
        <f>Tabla247[[#This Row],[Columna5]]*79.5/100</f>
        <v>22081.880249999998</v>
      </c>
      <c r="G27" s="76">
        <f>Tabla247[[#This Row],[Columna5]]-Tabla247[[#This Row],[Columna8]]</f>
        <v>5694.0697500000024</v>
      </c>
    </row>
    <row r="28" spans="1:7" x14ac:dyDescent="0.3">
      <c r="A28" s="72">
        <v>24</v>
      </c>
      <c r="B28" s="73" t="s">
        <v>176</v>
      </c>
      <c r="C28" s="74">
        <f t="shared" si="0"/>
        <v>45824</v>
      </c>
      <c r="D28" s="75">
        <f t="shared" si="1"/>
        <v>45830</v>
      </c>
      <c r="E28" s="9">
        <v>27581.47</v>
      </c>
      <c r="F28" s="7">
        <f>Tabla247[[#This Row],[Columna5]]*79.5/100</f>
        <v>21927.268650000002</v>
      </c>
      <c r="G28" s="76">
        <f>Tabla247[[#This Row],[Columna5]]-Tabla247[[#This Row],[Columna8]]</f>
        <v>5654.2013499999994</v>
      </c>
    </row>
    <row r="29" spans="1:7" x14ac:dyDescent="0.3">
      <c r="A29" s="72">
        <v>25</v>
      </c>
      <c r="B29" s="73" t="s">
        <v>177</v>
      </c>
      <c r="C29" s="74">
        <f>+D28+1</f>
        <v>45831</v>
      </c>
      <c r="D29" s="75">
        <f t="shared" si="1"/>
        <v>45837</v>
      </c>
      <c r="E29" s="9">
        <v>27005.64</v>
      </c>
      <c r="F29" s="7">
        <f>Tabla247[[#This Row],[Columna5]]*79.5/100</f>
        <v>21469.483799999998</v>
      </c>
      <c r="G29" s="76">
        <f>Tabla247[[#This Row],[Columna5]]-Tabla247[[#This Row],[Columna8]]</f>
        <v>5536.1562000000013</v>
      </c>
    </row>
    <row r="30" spans="1:7" x14ac:dyDescent="0.3">
      <c r="A30" s="72">
        <v>26</v>
      </c>
      <c r="B30" s="73" t="s">
        <v>178</v>
      </c>
      <c r="C30" s="74">
        <f t="shared" si="0"/>
        <v>45838</v>
      </c>
      <c r="D30" s="75">
        <f t="shared" si="1"/>
        <v>45844</v>
      </c>
      <c r="E30" s="41">
        <v>27600.61</v>
      </c>
      <c r="F30" s="7">
        <f>Tabla247[[#This Row],[Columna5]]*79.5/100</f>
        <v>21942.484950000002</v>
      </c>
      <c r="G30" s="76">
        <f>Tabla247[[#This Row],[Columna5]]-Tabla247[[#This Row],[Columna8]]</f>
        <v>5658.1250499999987</v>
      </c>
    </row>
    <row r="31" spans="1:7" x14ac:dyDescent="0.3">
      <c r="A31" s="72">
        <v>27</v>
      </c>
      <c r="B31" s="73" t="s">
        <v>179</v>
      </c>
      <c r="C31" s="74">
        <f t="shared" si="0"/>
        <v>45845</v>
      </c>
      <c r="D31" s="75">
        <f t="shared" si="1"/>
        <v>45851</v>
      </c>
      <c r="E31" s="11">
        <v>26869.94</v>
      </c>
      <c r="F31" s="7">
        <f>Tabla247[[#This Row],[Columna5]]*79.5/100</f>
        <v>21361.602299999999</v>
      </c>
      <c r="G31" s="76">
        <f>Tabla247[[#This Row],[Columna5]]-Tabla247[[#This Row],[Columna8]]</f>
        <v>5508.3377</v>
      </c>
    </row>
    <row r="32" spans="1:7" x14ac:dyDescent="0.3">
      <c r="A32" s="72">
        <v>28</v>
      </c>
      <c r="B32" s="73" t="s">
        <v>180</v>
      </c>
      <c r="C32" s="74">
        <v>45487</v>
      </c>
      <c r="D32" s="75">
        <f t="shared" si="1"/>
        <v>45493</v>
      </c>
      <c r="E32" s="9">
        <v>28980.59</v>
      </c>
      <c r="F32" s="7">
        <f>Tabla247[[#This Row],[Columna5]]*79.5/100</f>
        <v>23039.569049999998</v>
      </c>
      <c r="G32" s="76">
        <f>Tabla247[[#This Row],[Columna5]]-Tabla247[[#This Row],[Columna8]]</f>
        <v>5941.0209500000019</v>
      </c>
    </row>
    <row r="33" spans="1:7" x14ac:dyDescent="0.3">
      <c r="A33" s="72">
        <v>29</v>
      </c>
      <c r="B33" s="73" t="s">
        <v>181</v>
      </c>
      <c r="C33" s="74">
        <f t="shared" ref="C33:C53" si="2">+D32+1</f>
        <v>45494</v>
      </c>
      <c r="D33" s="75">
        <f t="shared" si="1"/>
        <v>45500</v>
      </c>
      <c r="E33" s="9">
        <v>21220.05</v>
      </c>
      <c r="F33" s="7">
        <f>Tabla247[[#This Row],[Columna5]]*79.5/100</f>
        <v>16869.939749999998</v>
      </c>
      <c r="G33" s="76">
        <f>Tabla247[[#This Row],[Columna5]]-Tabla247[[#This Row],[Columna8]]</f>
        <v>4350.1102500000015</v>
      </c>
    </row>
    <row r="34" spans="1:7" x14ac:dyDescent="0.3">
      <c r="A34" s="72">
        <v>30</v>
      </c>
      <c r="B34" s="73" t="s">
        <v>182</v>
      </c>
      <c r="C34" s="74">
        <f>+D33+1</f>
        <v>45501</v>
      </c>
      <c r="D34" s="75">
        <f t="shared" si="1"/>
        <v>45507</v>
      </c>
      <c r="E34" s="9">
        <v>27818.01</v>
      </c>
      <c r="F34" s="7">
        <f>Tabla247[[#This Row],[Columna5]]*79.5/100</f>
        <v>22115.317950000001</v>
      </c>
      <c r="G34" s="76">
        <f>Tabla247[[#This Row],[Columna5]]-Tabla247[[#This Row],[Columna8]]</f>
        <v>5702.6920499999978</v>
      </c>
    </row>
    <row r="35" spans="1:7" x14ac:dyDescent="0.3">
      <c r="A35" s="72">
        <v>31</v>
      </c>
      <c r="B35" s="73" t="s">
        <v>183</v>
      </c>
      <c r="C35" s="74">
        <f t="shared" si="2"/>
        <v>45508</v>
      </c>
      <c r="D35" s="75">
        <f t="shared" si="1"/>
        <v>45514</v>
      </c>
      <c r="E35" s="9">
        <v>29586.71</v>
      </c>
      <c r="F35" s="7">
        <f>Tabla247[[#This Row],[Columna5]]*79.5/100</f>
        <v>23521.434449999997</v>
      </c>
      <c r="G35" s="76">
        <f>Tabla247[[#This Row],[Columna5]]-Tabla247[[#This Row],[Columna8]]</f>
        <v>6065.2755500000021</v>
      </c>
    </row>
    <row r="36" spans="1:7" x14ac:dyDescent="0.3">
      <c r="A36" s="72">
        <v>32</v>
      </c>
      <c r="B36" s="73" t="s">
        <v>184</v>
      </c>
      <c r="C36" s="74">
        <f t="shared" si="2"/>
        <v>45515</v>
      </c>
      <c r="D36" s="75">
        <f t="shared" si="1"/>
        <v>45521</v>
      </c>
      <c r="E36" s="9">
        <v>24323.32</v>
      </c>
      <c r="F36" s="7">
        <f>Tabla247[[#This Row],[Columna5]]*79.5/100</f>
        <v>19337.039399999998</v>
      </c>
      <c r="G36" s="76">
        <f>Tabla247[[#This Row],[Columna5]]-Tabla247[[#This Row],[Columna8]]</f>
        <v>4986.2806000000019</v>
      </c>
    </row>
    <row r="37" spans="1:7" x14ac:dyDescent="0.3">
      <c r="A37" s="72">
        <v>33</v>
      </c>
      <c r="B37" s="73" t="s">
        <v>185</v>
      </c>
      <c r="C37" s="74">
        <f t="shared" si="2"/>
        <v>45522</v>
      </c>
      <c r="D37" s="75">
        <f t="shared" si="1"/>
        <v>45528</v>
      </c>
      <c r="E37" s="9">
        <v>31608.48</v>
      </c>
      <c r="F37" s="7">
        <f>Tabla247[[#This Row],[Columna5]]*79.5/100</f>
        <v>25128.741600000001</v>
      </c>
      <c r="G37" s="76">
        <f>Tabla247[[#This Row],[Columna5]]-Tabla247[[#This Row],[Columna8]]</f>
        <v>6479.7383999999984</v>
      </c>
    </row>
    <row r="38" spans="1:7" x14ac:dyDescent="0.3">
      <c r="A38" s="72">
        <v>34</v>
      </c>
      <c r="B38" s="73" t="s">
        <v>186</v>
      </c>
      <c r="C38" s="74">
        <f t="shared" si="2"/>
        <v>45529</v>
      </c>
      <c r="D38" s="75">
        <f t="shared" si="1"/>
        <v>45535</v>
      </c>
      <c r="E38" s="9">
        <v>33192.61</v>
      </c>
      <c r="F38" s="7">
        <f>Tabla247[[#This Row],[Columna5]]*79.5/100</f>
        <v>26388.124950000001</v>
      </c>
      <c r="G38" s="76">
        <f>Tabla247[[#This Row],[Columna5]]-Tabla247[[#This Row],[Columna8]]</f>
        <v>6804.4850499999993</v>
      </c>
    </row>
    <row r="39" spans="1:7" x14ac:dyDescent="0.3">
      <c r="A39" s="72">
        <v>35</v>
      </c>
      <c r="B39" s="73" t="s">
        <v>187</v>
      </c>
      <c r="C39" s="74">
        <f t="shared" si="2"/>
        <v>45536</v>
      </c>
      <c r="D39" s="75">
        <f t="shared" si="1"/>
        <v>45542</v>
      </c>
      <c r="E39" s="9">
        <v>33656.129999999997</v>
      </c>
      <c r="F39" s="7">
        <f>Tabla247[[#This Row],[Columna5]]*79.5/100</f>
        <v>26756.623349999998</v>
      </c>
      <c r="G39" s="76">
        <f>Tabla247[[#This Row],[Columna5]]-Tabla247[[#This Row],[Columna8]]</f>
        <v>6899.5066499999994</v>
      </c>
    </row>
    <row r="40" spans="1:7" x14ac:dyDescent="0.3">
      <c r="A40" s="72">
        <v>36</v>
      </c>
      <c r="B40" s="73" t="s">
        <v>188</v>
      </c>
      <c r="C40" s="74">
        <f t="shared" si="2"/>
        <v>45543</v>
      </c>
      <c r="D40" s="75">
        <f t="shared" si="1"/>
        <v>45549</v>
      </c>
      <c r="E40" s="9">
        <v>32649.47</v>
      </c>
      <c r="F40" s="7">
        <f>Tabla247[[#This Row],[Columna5]]*79.5/100</f>
        <v>25956.328650000003</v>
      </c>
      <c r="G40" s="76">
        <f>Tabla247[[#This Row],[Columna5]]-Tabla247[[#This Row],[Columna8]]</f>
        <v>6693.1413499999981</v>
      </c>
    </row>
    <row r="41" spans="1:7" x14ac:dyDescent="0.3">
      <c r="A41" s="72">
        <v>37</v>
      </c>
      <c r="B41" s="73" t="s">
        <v>189</v>
      </c>
      <c r="C41" s="74">
        <f t="shared" si="2"/>
        <v>45550</v>
      </c>
      <c r="D41" s="75">
        <f t="shared" si="1"/>
        <v>45556</v>
      </c>
      <c r="E41" s="9">
        <v>33055.89</v>
      </c>
      <c r="F41" s="7">
        <f>Tabla247[[#This Row],[Columna5]]*79.5/100</f>
        <v>26279.432549999998</v>
      </c>
      <c r="G41" s="76">
        <f>Tabla247[[#This Row],[Columna5]]-Tabla247[[#This Row],[Columna8]]</f>
        <v>6776.4574500000017</v>
      </c>
    </row>
    <row r="42" spans="1:7" x14ac:dyDescent="0.3">
      <c r="A42" s="72">
        <v>38</v>
      </c>
      <c r="B42" s="73" t="s">
        <v>190</v>
      </c>
      <c r="C42" s="74">
        <f t="shared" si="2"/>
        <v>45557</v>
      </c>
      <c r="D42" s="75">
        <f t="shared" si="1"/>
        <v>45563</v>
      </c>
      <c r="E42" s="9">
        <v>32020.080000000002</v>
      </c>
      <c r="F42" s="7">
        <f>Tabla247[[#This Row],[Columna5]]*79.5/100</f>
        <v>25455.963600000003</v>
      </c>
      <c r="G42" s="76">
        <f>Tabla247[[#This Row],[Columna5]]-Tabla247[[#This Row],[Columna8]]</f>
        <v>6564.116399999999</v>
      </c>
    </row>
    <row r="43" spans="1:7" x14ac:dyDescent="0.3">
      <c r="A43" s="72">
        <v>39</v>
      </c>
      <c r="B43" s="73" t="s">
        <v>191</v>
      </c>
      <c r="C43" s="74">
        <f t="shared" si="2"/>
        <v>45564</v>
      </c>
      <c r="D43" s="75">
        <f t="shared" si="1"/>
        <v>45570</v>
      </c>
      <c r="E43" s="9">
        <v>30932.37</v>
      </c>
      <c r="F43" s="7">
        <f>Tabla247[[#This Row],[Columna5]]*79.5/100</f>
        <v>24591.23415</v>
      </c>
      <c r="G43" s="76">
        <f>Tabla247[[#This Row],[Columna5]]-Tabla247[[#This Row],[Columna8]]</f>
        <v>6341.1358499999988</v>
      </c>
    </row>
    <row r="44" spans="1:7" x14ac:dyDescent="0.3">
      <c r="A44" s="72">
        <v>40</v>
      </c>
      <c r="B44" s="73" t="s">
        <v>192</v>
      </c>
      <c r="C44" s="74">
        <f t="shared" si="2"/>
        <v>45571</v>
      </c>
      <c r="D44" s="75">
        <f t="shared" si="1"/>
        <v>45577</v>
      </c>
      <c r="E44" s="9">
        <v>19142.12</v>
      </c>
      <c r="F44" s="7">
        <f>Tabla247[[#This Row],[Columna5]]*79.5/100</f>
        <v>15217.985399999998</v>
      </c>
      <c r="G44" s="76">
        <f>Tabla247[[#This Row],[Columna5]]-Tabla247[[#This Row],[Columna8]]</f>
        <v>3924.1346000000012</v>
      </c>
    </row>
    <row r="45" spans="1:7" x14ac:dyDescent="0.3">
      <c r="A45" s="72">
        <v>41</v>
      </c>
      <c r="B45" s="73" t="s">
        <v>193</v>
      </c>
      <c r="C45" s="74">
        <f t="shared" si="2"/>
        <v>45578</v>
      </c>
      <c r="D45" s="75">
        <f t="shared" si="1"/>
        <v>45584</v>
      </c>
      <c r="E45" s="9">
        <v>31088.5</v>
      </c>
      <c r="F45" s="7">
        <f>Tabla247[[#This Row],[Columna5]]*79.5/100</f>
        <v>24715.357499999998</v>
      </c>
      <c r="G45" s="76">
        <f>Tabla247[[#This Row],[Columna5]]-Tabla247[[#This Row],[Columna8]]</f>
        <v>6373.1425000000017</v>
      </c>
    </row>
    <row r="46" spans="1:7" x14ac:dyDescent="0.3">
      <c r="A46" s="72">
        <v>42</v>
      </c>
      <c r="B46" s="73" t="s">
        <v>194</v>
      </c>
      <c r="C46" s="74">
        <f t="shared" si="2"/>
        <v>45585</v>
      </c>
      <c r="D46" s="75">
        <f t="shared" si="1"/>
        <v>45591</v>
      </c>
      <c r="E46" s="9">
        <v>31915.96</v>
      </c>
      <c r="F46" s="7">
        <f>Tabla247[[#This Row],[Columna5]]*79.5/100</f>
        <v>25373.188199999997</v>
      </c>
      <c r="G46" s="76">
        <f>Tabla247[[#This Row],[Columna5]]-Tabla247[[#This Row],[Columna8]]</f>
        <v>6542.7718000000023</v>
      </c>
    </row>
    <row r="47" spans="1:7" x14ac:dyDescent="0.3">
      <c r="A47" s="72">
        <v>43</v>
      </c>
      <c r="B47" s="73" t="s">
        <v>195</v>
      </c>
      <c r="C47" s="74">
        <f t="shared" si="2"/>
        <v>45592</v>
      </c>
      <c r="D47" s="75">
        <f t="shared" si="1"/>
        <v>45598</v>
      </c>
      <c r="E47" s="9">
        <v>31386.41</v>
      </c>
      <c r="F47" s="7">
        <f>Tabla247[[#This Row],[Columna5]]*79.5/100</f>
        <v>24952.195950000001</v>
      </c>
      <c r="G47" s="76">
        <f>Tabla247[[#This Row],[Columna5]]-Tabla247[[#This Row],[Columna8]]</f>
        <v>6434.2140499999987</v>
      </c>
    </row>
    <row r="48" spans="1:7" x14ac:dyDescent="0.3">
      <c r="A48" s="72">
        <v>44</v>
      </c>
      <c r="B48" s="73" t="s">
        <v>196</v>
      </c>
      <c r="C48" s="74">
        <f t="shared" si="2"/>
        <v>45599</v>
      </c>
      <c r="D48" s="75">
        <f t="shared" si="1"/>
        <v>45605</v>
      </c>
      <c r="E48" s="9">
        <v>21115</v>
      </c>
      <c r="F48" s="7">
        <f>Tabla247[[#This Row],[Columna5]]*79.5/100</f>
        <v>16786.424999999999</v>
      </c>
      <c r="G48" s="76">
        <f>Tabla247[[#This Row],[Columna5]]-Tabla247[[#This Row],[Columna8]]</f>
        <v>4328.5750000000007</v>
      </c>
    </row>
    <row r="49" spans="1:7" x14ac:dyDescent="0.3">
      <c r="A49" s="72">
        <v>45</v>
      </c>
      <c r="B49" s="73" t="s">
        <v>197</v>
      </c>
      <c r="C49" s="74">
        <f t="shared" si="2"/>
        <v>45606</v>
      </c>
      <c r="D49" s="75">
        <f t="shared" si="1"/>
        <v>45612</v>
      </c>
      <c r="E49" s="9">
        <v>32342.01</v>
      </c>
      <c r="F49" s="7">
        <f>Tabla247[[#This Row],[Columna5]]*79.5/100</f>
        <v>25711.897949999999</v>
      </c>
      <c r="G49" s="76">
        <f>Tabla247[[#This Row],[Columna5]]-Tabla247[[#This Row],[Columna8]]</f>
        <v>6630.1120499999997</v>
      </c>
    </row>
    <row r="50" spans="1:7" x14ac:dyDescent="0.3">
      <c r="A50" s="72">
        <v>46</v>
      </c>
      <c r="B50" s="73" t="s">
        <v>198</v>
      </c>
      <c r="C50" s="74">
        <f t="shared" si="2"/>
        <v>45613</v>
      </c>
      <c r="D50" s="75">
        <f t="shared" si="1"/>
        <v>45619</v>
      </c>
      <c r="E50" s="9">
        <v>33492.44</v>
      </c>
      <c r="F50" s="7">
        <f>Tabla247[[#This Row],[Columna5]]*79.5/100</f>
        <v>26626.489799999999</v>
      </c>
      <c r="G50" s="76">
        <f>Tabla247[[#This Row],[Columna5]]-Tabla247[[#This Row],[Columna8]]</f>
        <v>6865.950200000003</v>
      </c>
    </row>
    <row r="51" spans="1:7" x14ac:dyDescent="0.3">
      <c r="A51" s="72">
        <v>47</v>
      </c>
      <c r="B51" s="73" t="s">
        <v>199</v>
      </c>
      <c r="C51" s="74">
        <f t="shared" si="2"/>
        <v>45620</v>
      </c>
      <c r="D51" s="75">
        <f t="shared" si="1"/>
        <v>45626</v>
      </c>
      <c r="E51" s="9">
        <v>33895.93</v>
      </c>
      <c r="F51" s="7">
        <f>Tabla247[[#This Row],[Columna5]]*79.5/100</f>
        <v>26947.264350000001</v>
      </c>
      <c r="G51" s="76">
        <f>Tabla247[[#This Row],[Columna5]]-Tabla247[[#This Row],[Columna8]]</f>
        <v>6948.665649999999</v>
      </c>
    </row>
    <row r="52" spans="1:7" x14ac:dyDescent="0.3">
      <c r="A52" s="72">
        <v>48</v>
      </c>
      <c r="B52" s="73" t="s">
        <v>200</v>
      </c>
      <c r="C52" s="74">
        <f t="shared" si="2"/>
        <v>45627</v>
      </c>
      <c r="D52" s="75">
        <f t="shared" si="1"/>
        <v>45633</v>
      </c>
      <c r="E52" s="9">
        <v>35149.64</v>
      </c>
      <c r="F52" s="7">
        <f>Tabla247[[#This Row],[Columna5]]*79.5/100</f>
        <v>27943.963799999998</v>
      </c>
      <c r="G52" s="76">
        <f>Tabla247[[#This Row],[Columna5]]-Tabla247[[#This Row],[Columna8]]</f>
        <v>7205.6762000000017</v>
      </c>
    </row>
    <row r="53" spans="1:7" x14ac:dyDescent="0.3">
      <c r="A53" s="72">
        <v>49</v>
      </c>
      <c r="B53" s="73" t="s">
        <v>201</v>
      </c>
      <c r="C53" s="74">
        <f t="shared" si="2"/>
        <v>45634</v>
      </c>
      <c r="D53" s="75">
        <f t="shared" si="1"/>
        <v>45640</v>
      </c>
      <c r="E53" s="9">
        <v>36003.839999999997</v>
      </c>
      <c r="F53" s="7">
        <f>Tabla247[[#This Row],[Columna5]]*79.5/100</f>
        <v>28623.052799999998</v>
      </c>
      <c r="G53" s="76">
        <f>Tabla247[[#This Row],[Columna5]]-Tabla247[[#This Row],[Columna8]]</f>
        <v>7380.7871999999988</v>
      </c>
    </row>
    <row r="54" spans="1:7" x14ac:dyDescent="0.3">
      <c r="A54" s="72">
        <v>50</v>
      </c>
      <c r="B54" s="73" t="s">
        <v>202</v>
      </c>
      <c r="C54" s="74">
        <v>45635</v>
      </c>
      <c r="D54" s="75">
        <f t="shared" si="1"/>
        <v>45641</v>
      </c>
      <c r="E54" s="10">
        <v>38119.06</v>
      </c>
      <c r="F54" s="7">
        <f>Tabla247[[#This Row],[Columna5]]*79.5/100</f>
        <v>30304.652699999999</v>
      </c>
      <c r="G54" s="76">
        <f>Tabla247[[#This Row],[Columna5]]-Tabla247[[#This Row],[Columna8]]</f>
        <v>7814.4072999999989</v>
      </c>
    </row>
    <row r="55" spans="1:7" x14ac:dyDescent="0.3">
      <c r="A55" s="72">
        <v>51</v>
      </c>
      <c r="B55" s="73" t="s">
        <v>203</v>
      </c>
      <c r="C55" s="74">
        <f t="shared" ref="C55" si="3">+D54+1</f>
        <v>45642</v>
      </c>
      <c r="D55" s="75">
        <f>+C55+6</f>
        <v>45648</v>
      </c>
      <c r="E55" s="10">
        <v>28329.16</v>
      </c>
      <c r="F55" s="7">
        <f>Tabla247[[#This Row],[Columna5]]*79.5/100</f>
        <v>22521.682200000003</v>
      </c>
      <c r="G55" s="76">
        <f>Tabla247[[#This Row],[Columna5]]-Tabla247[[#This Row],[Columna8]]</f>
        <v>5807.4777999999969</v>
      </c>
    </row>
    <row r="56" spans="1:7" x14ac:dyDescent="0.3">
      <c r="A56" s="77">
        <v>52</v>
      </c>
      <c r="B56" s="73" t="s">
        <v>204</v>
      </c>
      <c r="C56" s="78">
        <f>+D55+1</f>
        <v>45649</v>
      </c>
      <c r="D56" s="79">
        <f t="shared" si="1"/>
        <v>45655</v>
      </c>
      <c r="E56" s="12">
        <v>15735.84</v>
      </c>
      <c r="F56" s="7">
        <f>Tabla247[[#This Row],[Columna5]]*79.5/100</f>
        <v>12509.9928</v>
      </c>
      <c r="G56" s="76">
        <f>Tabla247[[#This Row],[Columna5]]-Tabla247[[#This Row],[Columna8]]</f>
        <v>3225.8472000000002</v>
      </c>
    </row>
    <row r="57" spans="1:7" x14ac:dyDescent="0.3">
      <c r="A57" s="23"/>
      <c r="B57" s="18"/>
      <c r="C57" s="19"/>
      <c r="D57" s="20"/>
      <c r="E57" s="47"/>
      <c r="F57" s="87">
        <f>SUBTOTAL(109,F3:F56)</f>
        <v>1167855.6757499997</v>
      </c>
      <c r="G57" s="16">
        <f>SUBTOTAL(109,G3:G56)</f>
        <v>301145.17424999998</v>
      </c>
    </row>
    <row r="58" spans="1:7" x14ac:dyDescent="0.3">
      <c r="A58" s="15"/>
      <c r="B58" s="42"/>
      <c r="C58" s="43"/>
      <c r="D58" s="44"/>
      <c r="E58" s="45"/>
      <c r="F58" s="39"/>
      <c r="G58" s="16"/>
    </row>
    <row r="59" spans="1:7" x14ac:dyDescent="0.3">
      <c r="A59" s="15"/>
      <c r="B59" s="42"/>
      <c r="C59" s="43"/>
      <c r="D59" s="44"/>
      <c r="E59" s="45"/>
      <c r="F59" s="39"/>
      <c r="G59" s="16"/>
    </row>
    <row r="60" spans="1:7" x14ac:dyDescent="0.3">
      <c r="A60" s="15"/>
      <c r="B60" s="42"/>
      <c r="C60" s="43"/>
      <c r="D60" s="44"/>
      <c r="E60" s="45"/>
      <c r="F60" s="39"/>
      <c r="G60" s="16"/>
    </row>
    <row r="61" spans="1:7" x14ac:dyDescent="0.3">
      <c r="A61" s="48" t="s">
        <v>152</v>
      </c>
      <c r="B61" s="49"/>
      <c r="C61" s="49"/>
      <c r="D61" s="49"/>
      <c r="E61" s="49"/>
      <c r="F61" s="49"/>
    </row>
    <row r="62" spans="1:7" ht="43.2" x14ac:dyDescent="0.3">
      <c r="A62" s="31" t="s">
        <v>70</v>
      </c>
      <c r="B62" s="31" t="s">
        <v>71</v>
      </c>
      <c r="C62" s="31" t="s">
        <v>72</v>
      </c>
      <c r="D62" s="31" t="s">
        <v>73</v>
      </c>
      <c r="E62" s="31" t="s">
        <v>74</v>
      </c>
      <c r="F62" s="31" t="s">
        <v>75</v>
      </c>
    </row>
    <row r="63" spans="1:7" x14ac:dyDescent="0.3">
      <c r="A63" s="8">
        <v>2025</v>
      </c>
      <c r="B63" s="8" t="s">
        <v>149</v>
      </c>
      <c r="C63" s="8">
        <v>3691</v>
      </c>
      <c r="D63" s="25">
        <v>123677.55</v>
      </c>
      <c r="E63" s="10">
        <f t="shared" ref="E63:E67" si="4">ROUND(D63*0.8,2)</f>
        <v>98942.04</v>
      </c>
      <c r="F63" s="7">
        <f t="shared" ref="F63:F66" si="5">+ROUND(D63*0.2,2)</f>
        <v>24735.51</v>
      </c>
    </row>
    <row r="64" spans="1:7" x14ac:dyDescent="0.3">
      <c r="A64" s="8">
        <v>2025</v>
      </c>
      <c r="B64" s="8" t="s">
        <v>80</v>
      </c>
      <c r="C64" s="8">
        <v>3634</v>
      </c>
      <c r="D64" s="26">
        <v>123202.1</v>
      </c>
      <c r="E64" s="10">
        <f t="shared" si="4"/>
        <v>98561.68</v>
      </c>
      <c r="F64" s="7">
        <f t="shared" si="5"/>
        <v>24640.42</v>
      </c>
    </row>
    <row r="65" spans="1:6" x14ac:dyDescent="0.3">
      <c r="A65" s="8">
        <v>2025</v>
      </c>
      <c r="B65" s="8" t="s">
        <v>81</v>
      </c>
      <c r="C65" s="8">
        <v>2960</v>
      </c>
      <c r="D65" s="25">
        <v>101191.05</v>
      </c>
      <c r="E65" s="10">
        <f t="shared" si="4"/>
        <v>80952.84</v>
      </c>
      <c r="F65" s="7">
        <f t="shared" si="5"/>
        <v>20238.21</v>
      </c>
    </row>
    <row r="66" spans="1:6" x14ac:dyDescent="0.3">
      <c r="A66" s="8">
        <v>2025</v>
      </c>
      <c r="B66" s="8" t="s">
        <v>82</v>
      </c>
      <c r="C66" s="8">
        <v>2703</v>
      </c>
      <c r="D66" s="25">
        <v>92479.4</v>
      </c>
      <c r="E66" s="10">
        <f t="shared" si="4"/>
        <v>73983.520000000004</v>
      </c>
      <c r="F66" s="7">
        <f t="shared" si="5"/>
        <v>18495.88</v>
      </c>
    </row>
    <row r="67" spans="1:6" x14ac:dyDescent="0.3">
      <c r="A67" s="8">
        <v>2025</v>
      </c>
      <c r="B67" s="8" t="s">
        <v>83</v>
      </c>
      <c r="C67" s="8">
        <v>3163</v>
      </c>
      <c r="D67" s="25">
        <v>107720.3</v>
      </c>
      <c r="E67" s="10">
        <f t="shared" si="4"/>
        <v>86176.24</v>
      </c>
      <c r="F67" s="7">
        <f>+ROUND(D67*0.2,2)</f>
        <v>21544.06</v>
      </c>
    </row>
    <row r="68" spans="1:6" x14ac:dyDescent="0.3">
      <c r="A68" s="8">
        <v>2025</v>
      </c>
      <c r="B68" s="8" t="s">
        <v>84</v>
      </c>
      <c r="C68" s="81">
        <v>4391</v>
      </c>
      <c r="D68" s="10">
        <v>149215.20000000001</v>
      </c>
      <c r="E68" s="10">
        <f>ROUND(D68*0.8,2)</f>
        <v>119372.16</v>
      </c>
      <c r="F68" s="7">
        <f>+ROUND(D68*0.2,2)</f>
        <v>29843.040000000001</v>
      </c>
    </row>
    <row r="69" spans="1:6" x14ac:dyDescent="0.3">
      <c r="A69" s="8">
        <v>2025</v>
      </c>
      <c r="B69" s="8" t="s">
        <v>85</v>
      </c>
      <c r="C69" s="81">
        <v>4381</v>
      </c>
      <c r="D69" s="10">
        <v>150326.6</v>
      </c>
      <c r="E69" s="10">
        <f t="shared" ref="E69:E74" si="6">ROUND(D69*0.8,2)</f>
        <v>120261.28</v>
      </c>
      <c r="F69" s="7">
        <f t="shared" ref="F69:F74" si="7">+ROUND(D69*0.2,2)</f>
        <v>30065.32</v>
      </c>
    </row>
    <row r="70" spans="1:6" x14ac:dyDescent="0.3">
      <c r="A70" s="8">
        <v>2025</v>
      </c>
      <c r="B70" s="8" t="s">
        <v>86</v>
      </c>
      <c r="C70" s="81">
        <v>4147</v>
      </c>
      <c r="D70" s="10">
        <v>140837.95000000001</v>
      </c>
      <c r="E70" s="10">
        <f t="shared" si="6"/>
        <v>112670.36</v>
      </c>
      <c r="F70" s="7">
        <f t="shared" si="7"/>
        <v>28167.59</v>
      </c>
    </row>
    <row r="71" spans="1:6" x14ac:dyDescent="0.3">
      <c r="A71" s="8">
        <v>2025</v>
      </c>
      <c r="B71" s="8" t="s">
        <v>76</v>
      </c>
      <c r="C71" s="81">
        <v>4144</v>
      </c>
      <c r="D71" s="10">
        <v>141664.4</v>
      </c>
      <c r="E71" s="10">
        <f t="shared" si="6"/>
        <v>113331.52</v>
      </c>
      <c r="F71" s="7">
        <f t="shared" si="7"/>
        <v>28332.880000000001</v>
      </c>
    </row>
    <row r="72" spans="1:6" x14ac:dyDescent="0.3">
      <c r="A72" s="8">
        <v>2025</v>
      </c>
      <c r="B72" s="8" t="s">
        <v>77</v>
      </c>
      <c r="C72" s="81">
        <v>3243</v>
      </c>
      <c r="D72" s="10">
        <v>110153.5</v>
      </c>
      <c r="E72" s="10">
        <f t="shared" si="6"/>
        <v>88122.8</v>
      </c>
      <c r="F72" s="7">
        <f t="shared" si="7"/>
        <v>22030.7</v>
      </c>
    </row>
    <row r="73" spans="1:6" x14ac:dyDescent="0.3">
      <c r="A73" s="8">
        <v>2025</v>
      </c>
      <c r="B73" s="8" t="s">
        <v>78</v>
      </c>
      <c r="C73" s="81">
        <v>1991</v>
      </c>
      <c r="D73" s="10">
        <v>67752.160000000003</v>
      </c>
      <c r="E73" s="10">
        <f t="shared" si="6"/>
        <v>54201.73</v>
      </c>
      <c r="F73" s="7">
        <f t="shared" si="7"/>
        <v>13550.43</v>
      </c>
    </row>
    <row r="74" spans="1:6" x14ac:dyDescent="0.3">
      <c r="A74" s="8">
        <v>2025</v>
      </c>
      <c r="B74" s="8" t="s">
        <v>150</v>
      </c>
      <c r="C74" s="82">
        <v>3952</v>
      </c>
      <c r="D74" s="10">
        <v>134107.25</v>
      </c>
      <c r="E74" s="10">
        <f t="shared" si="6"/>
        <v>107285.8</v>
      </c>
      <c r="F74" s="7">
        <f t="shared" si="7"/>
        <v>26821.45</v>
      </c>
    </row>
    <row r="75" spans="1:6" x14ac:dyDescent="0.3">
      <c r="A75" s="8"/>
      <c r="B75" s="8"/>
      <c r="C75" s="29"/>
      <c r="D75" s="10"/>
      <c r="E75" s="56">
        <f t="shared" ref="E75:F75" si="8">SUBTOTAL(109,E63:E74)</f>
        <v>1153861.97</v>
      </c>
      <c r="F75" s="56">
        <f t="shared" si="8"/>
        <v>288465.49</v>
      </c>
    </row>
  </sheetData>
  <mergeCells count="2">
    <mergeCell ref="A1:I1"/>
    <mergeCell ref="A61:F6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E048-3FDC-44D3-A051-8A8442B653EF}">
  <dimension ref="A1:G18"/>
  <sheetViews>
    <sheetView tabSelected="1" workbookViewId="0">
      <selection activeCell="A13" sqref="A13:F18"/>
    </sheetView>
  </sheetViews>
  <sheetFormatPr baseColWidth="10" defaultRowHeight="14.4" x14ac:dyDescent="0.3"/>
  <cols>
    <col min="4" max="4" width="11.88671875" bestFit="1" customWidth="1"/>
    <col min="5" max="5" width="14.77734375" bestFit="1" customWidth="1"/>
    <col min="6" max="6" width="14" bestFit="1" customWidth="1"/>
  </cols>
  <sheetData>
    <row r="1" spans="1:7" ht="33.6" customHeight="1" x14ac:dyDescent="0.3">
      <c r="A1" s="57" t="s">
        <v>205</v>
      </c>
      <c r="B1" s="83"/>
      <c r="C1" s="83"/>
      <c r="D1" s="83"/>
      <c r="E1" s="83"/>
      <c r="F1" s="83"/>
      <c r="G1" s="83"/>
    </row>
    <row r="2" spans="1:7" x14ac:dyDescent="0.3">
      <c r="A2" s="35" t="s">
        <v>87</v>
      </c>
      <c r="B2" s="36" t="s">
        <v>88</v>
      </c>
      <c r="C2" s="37" t="s">
        <v>89</v>
      </c>
      <c r="D2" s="38" t="s">
        <v>90</v>
      </c>
      <c r="E2" s="36" t="s">
        <v>91</v>
      </c>
      <c r="F2" s="36" t="s">
        <v>94</v>
      </c>
      <c r="G2" s="36" t="s">
        <v>95</v>
      </c>
    </row>
    <row r="3" spans="1:7" ht="43.2" x14ac:dyDescent="0.3">
      <c r="A3" s="32" t="s">
        <v>1</v>
      </c>
      <c r="B3" s="30" t="s">
        <v>2</v>
      </c>
      <c r="C3" s="33" t="s">
        <v>3</v>
      </c>
      <c r="D3" s="33" t="s">
        <v>3</v>
      </c>
      <c r="E3" s="30" t="s">
        <v>4</v>
      </c>
      <c r="F3" s="30" t="s">
        <v>7</v>
      </c>
      <c r="G3" s="30" t="s">
        <v>96</v>
      </c>
    </row>
    <row r="4" spans="1:7" x14ac:dyDescent="0.3">
      <c r="A4" s="38"/>
      <c r="B4" s="34"/>
      <c r="C4" s="1" t="s">
        <v>8</v>
      </c>
      <c r="D4" s="2" t="s">
        <v>9</v>
      </c>
      <c r="E4" s="31"/>
      <c r="F4" s="31"/>
      <c r="G4" s="31"/>
    </row>
    <row r="5" spans="1:7" x14ac:dyDescent="0.3">
      <c r="A5" s="40">
        <v>1</v>
      </c>
      <c r="B5" s="3" t="s">
        <v>206</v>
      </c>
      <c r="C5" s="4">
        <v>46027</v>
      </c>
      <c r="D5" s="5">
        <f>+C5+6</f>
        <v>46033</v>
      </c>
      <c r="E5" s="46">
        <v>34887.89</v>
      </c>
      <c r="F5" s="7">
        <f>Tabla24710[[#This Row],[Columna5]]*79.5/100</f>
        <v>27735.87255</v>
      </c>
      <c r="G5" s="16">
        <f>Tabla24710[[#This Row],[Columna5]]-Tabla24710[[#This Row],[Columna8]]</f>
        <v>7152.0174499999994</v>
      </c>
    </row>
    <row r="6" spans="1:7" x14ac:dyDescent="0.3">
      <c r="A6" s="40">
        <v>2</v>
      </c>
      <c r="B6" s="3" t="s">
        <v>207</v>
      </c>
      <c r="C6" s="4">
        <f>+D5+1</f>
        <v>46034</v>
      </c>
      <c r="D6" s="5">
        <f>+C6+6</f>
        <v>46040</v>
      </c>
      <c r="E6" s="6">
        <v>33755.230000000003</v>
      </c>
      <c r="F6" s="7">
        <f>Tabla24710[[#This Row],[Columna5]]*79.5/100</f>
        <v>26835.407850000003</v>
      </c>
      <c r="G6" s="16">
        <f>Tabla24710[[#This Row],[Columna5]]-Tabla24710[[#This Row],[Columna8]]</f>
        <v>6919.82215</v>
      </c>
    </row>
    <row r="7" spans="1:7" x14ac:dyDescent="0.3">
      <c r="A7" s="40">
        <v>3</v>
      </c>
      <c r="B7" s="3" t="s">
        <v>208</v>
      </c>
      <c r="C7" s="4">
        <f>+D6+1</f>
        <v>46041</v>
      </c>
      <c r="D7" s="5">
        <f>+C7+6</f>
        <v>46047</v>
      </c>
      <c r="E7" s="6">
        <v>34142.07</v>
      </c>
      <c r="F7" s="7">
        <f>Tabla24710[[#This Row],[Columna5]]*79.5/100</f>
        <v>27142.945649999998</v>
      </c>
      <c r="G7" s="16">
        <f>Tabla24710[[#This Row],[Columna5]]-Tabla24710[[#This Row],[Columna8]]</f>
        <v>6999.1243500000019</v>
      </c>
    </row>
    <row r="8" spans="1:7" x14ac:dyDescent="0.3">
      <c r="A8" s="40">
        <v>4</v>
      </c>
      <c r="B8" s="3" t="s">
        <v>209</v>
      </c>
      <c r="C8" s="4">
        <f>+D7+1</f>
        <v>46048</v>
      </c>
      <c r="D8" s="5">
        <f>+C8+6</f>
        <v>46054</v>
      </c>
      <c r="E8" s="6">
        <v>33936.22</v>
      </c>
      <c r="F8" s="7">
        <f>Tabla24710[[#This Row],[Columna5]]*79.5/100</f>
        <v>26979.294900000001</v>
      </c>
      <c r="G8" s="16">
        <f>Tabla24710[[#This Row],[Columna5]]-Tabla24710[[#This Row],[Columna8]]</f>
        <v>6956.9251000000004</v>
      </c>
    </row>
    <row r="9" spans="1:7" x14ac:dyDescent="0.3">
      <c r="A9" s="40">
        <v>5</v>
      </c>
      <c r="B9" s="3" t="s">
        <v>210</v>
      </c>
      <c r="C9" s="4">
        <f>+D8+1</f>
        <v>46055</v>
      </c>
      <c r="D9" s="5">
        <f>+C9+6</f>
        <v>46061</v>
      </c>
      <c r="E9" s="9">
        <v>34661.269999999997</v>
      </c>
      <c r="F9" s="7">
        <f>Tabla24710[[#This Row],[Columna5]]*79.5/100</f>
        <v>27555.709649999997</v>
      </c>
      <c r="G9" s="16">
        <f>Tabla24710[[#This Row],[Columna5]]-Tabla24710[[#This Row],[Columna8]]</f>
        <v>7105.5603499999997</v>
      </c>
    </row>
    <row r="10" spans="1:7" x14ac:dyDescent="0.3">
      <c r="A10" s="23"/>
      <c r="B10" s="18"/>
      <c r="C10" s="19"/>
      <c r="D10" s="20"/>
      <c r="E10" s="47"/>
      <c r="F10" s="87">
        <f t="shared" ref="F10:G10" si="0">SUBTOTAL(109,F3:F9)</f>
        <v>136249.23060000001</v>
      </c>
      <c r="G10" s="16">
        <f t="shared" si="0"/>
        <v>35133.449399999998</v>
      </c>
    </row>
    <row r="13" spans="1:7" ht="14.4" customHeight="1" x14ac:dyDescent="0.3">
      <c r="A13" s="48" t="s">
        <v>211</v>
      </c>
      <c r="B13" s="49"/>
      <c r="C13" s="49"/>
      <c r="D13" s="49"/>
      <c r="E13" s="49"/>
      <c r="F13" s="49"/>
    </row>
    <row r="14" spans="1:7" ht="43.2" x14ac:dyDescent="0.3">
      <c r="A14" s="31" t="s">
        <v>70</v>
      </c>
      <c r="B14" s="31" t="s">
        <v>71</v>
      </c>
      <c r="C14" s="31" t="s">
        <v>72</v>
      </c>
      <c r="D14" s="31" t="s">
        <v>73</v>
      </c>
      <c r="E14" s="31" t="s">
        <v>74</v>
      </c>
      <c r="F14" s="31" t="s">
        <v>75</v>
      </c>
    </row>
    <row r="15" spans="1:7" x14ac:dyDescent="0.3">
      <c r="A15" s="8">
        <v>2026</v>
      </c>
      <c r="B15" s="8" t="s">
        <v>149</v>
      </c>
      <c r="C15" s="8">
        <v>2959</v>
      </c>
      <c r="D15" s="25">
        <v>102059.95</v>
      </c>
      <c r="E15" s="10">
        <f t="shared" ref="E15:E17" si="1">ROUND(D15*0.8,2)</f>
        <v>81647.960000000006</v>
      </c>
      <c r="F15" s="7">
        <f t="shared" ref="F15:F17" si="2">+ROUND(D15*0.2,2)</f>
        <v>20411.990000000002</v>
      </c>
    </row>
    <row r="16" spans="1:7" x14ac:dyDescent="0.3">
      <c r="A16" s="8">
        <v>2026</v>
      </c>
      <c r="B16" s="8" t="s">
        <v>80</v>
      </c>
      <c r="C16" s="8">
        <v>2782</v>
      </c>
      <c r="D16" s="26">
        <v>96711.11</v>
      </c>
      <c r="E16" s="10">
        <f t="shared" si="1"/>
        <v>77368.89</v>
      </c>
      <c r="F16" s="7">
        <f t="shared" si="2"/>
        <v>19342.22</v>
      </c>
    </row>
    <row r="17" spans="1:6" x14ac:dyDescent="0.3">
      <c r="A17" s="8">
        <v>2026</v>
      </c>
      <c r="B17" s="8" t="s">
        <v>81</v>
      </c>
      <c r="C17" s="8">
        <v>3833</v>
      </c>
      <c r="D17" s="25">
        <v>133440.63</v>
      </c>
      <c r="E17" s="10">
        <f t="shared" si="1"/>
        <v>106752.5</v>
      </c>
      <c r="F17" s="7">
        <f t="shared" si="2"/>
        <v>26688.13</v>
      </c>
    </row>
    <row r="18" spans="1:6" x14ac:dyDescent="0.3">
      <c r="A18" s="8"/>
      <c r="B18" s="8"/>
      <c r="C18" s="29"/>
      <c r="D18" s="10"/>
      <c r="E18" s="56">
        <f t="shared" ref="E18:F18" si="3">SUBTOTAL(109,E15:E17)</f>
        <v>265769.34999999998</v>
      </c>
      <c r="F18" s="56">
        <f t="shared" si="3"/>
        <v>66442.340000000011</v>
      </c>
    </row>
  </sheetData>
  <mergeCells count="2">
    <mergeCell ref="A13:F13"/>
    <mergeCell ref="A1:G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 2023</vt:lpstr>
      <vt:lpstr>RESUMEN 2024 OCM</vt:lpstr>
      <vt:lpstr>RESUMEN 2025 OCM </vt:lpstr>
      <vt:lpstr>RESUMEN 2026 OCM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Cuenca</dc:creator>
  <cp:lastModifiedBy>Victor Basantes</cp:lastModifiedBy>
  <dcterms:created xsi:type="dcterms:W3CDTF">2024-02-05T16:29:09Z</dcterms:created>
  <dcterms:modified xsi:type="dcterms:W3CDTF">2026-04-17T18:19:06Z</dcterms:modified>
</cp:coreProperties>
</file>